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metadata.xml" ContentType="application/vnd.openxmlformats-officedocument.spreadsheetml.sheetMetadata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 codeName="DieseArbeitsmappe"/>
  <mc:AlternateContent xmlns:mc="http://schemas.openxmlformats.org/markup-compatibility/2006">
    <mc:Choice Requires="x15">
      <x15ac:absPath xmlns:x15ac="http://schemas.microsoft.com/office/spreadsheetml/2010/11/ac" url="Z:\Pixel &amp; Pils\"/>
    </mc:Choice>
  </mc:AlternateContent>
  <xr:revisionPtr revIDLastSave="0" documentId="13_ncr:1_{5F8A47E3-E652-448B-BDD8-3B029A94C9FF}" xr6:coauthVersionLast="47" xr6:coauthVersionMax="47" xr10:uidLastSave="{00000000-0000-0000-0000-000000000000}"/>
  <bookViews>
    <workbookView xWindow="-120" yWindow="-120" windowWidth="29040" windowHeight="15840" tabRatio="557" firstSheet="1" activeTab="1" xr2:uid="{00000000-000D-0000-FFFF-FFFF00000000}"/>
  </bookViews>
  <sheets>
    <sheet name="Stream-Hilfsblatt (Status)" sheetId="2" state="hidden" r:id="rId1"/>
    <sheet name="Streams" sheetId="1" r:id="rId2"/>
    <sheet name="Folgen" sheetId="4" r:id="rId3"/>
    <sheet name="Folgen, Hilfstabelle" sheetId="5" state="hidden" r:id="rId4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G6" i="1" l="1"/>
  <c r="I18" i="1"/>
  <c r="D18" i="1"/>
  <c r="I17" i="1"/>
  <c r="D17" i="1"/>
  <c r="U17" i="4"/>
  <c r="U16" i="4"/>
  <c r="G7" i="1"/>
  <c r="G5" i="1"/>
  <c r="G4" i="1"/>
  <c r="G2" i="1"/>
  <c r="S9" i="1"/>
  <c r="D5" i="1"/>
  <c r="U25" i="4"/>
  <c r="U26" i="4"/>
  <c r="U6" i="4" a="1"/>
  <c r="U6" i="4" s="1"/>
  <c r="U24" i="4"/>
  <c r="S24" i="1"/>
  <c r="U10" i="4"/>
  <c r="U23" i="4"/>
  <c r="U22" i="4"/>
  <c r="U21" i="4"/>
  <c r="U20" i="4" a="1"/>
  <c r="U20" i="4" s="1"/>
  <c r="U19" i="4"/>
  <c r="U18" i="4"/>
  <c r="U15" i="4"/>
  <c r="U14" i="4"/>
  <c r="U12" i="4"/>
  <c r="U11" i="4"/>
  <c r="U9" i="4"/>
  <c r="U8" i="4"/>
  <c r="U7" i="4"/>
  <c r="U5" i="4"/>
  <c r="U4" i="4"/>
  <c r="U3" i="4"/>
  <c r="U2" i="4" a="1"/>
  <c r="U2" i="4" s="1"/>
  <c r="S5" i="1"/>
  <c r="S26" i="1"/>
  <c r="S25" i="1"/>
  <c r="S21" i="1" a="1"/>
  <c r="S21" i="1" s="1"/>
  <c r="S22" i="1"/>
  <c r="S23" i="1"/>
  <c r="S20" i="1"/>
  <c r="S19" i="1"/>
  <c r="S18" i="1"/>
  <c r="S17" i="1"/>
  <c r="S16" i="1"/>
  <c r="S15" i="1"/>
  <c r="S13" i="1"/>
  <c r="S12" i="1"/>
  <c r="S3" i="1"/>
  <c r="S2" i="1"/>
  <c r="D2" i="1"/>
  <c r="D3" i="1"/>
  <c r="I3" i="1" s="1"/>
  <c r="D4" i="1"/>
  <c r="D8" i="1"/>
  <c r="I8" i="1" s="1"/>
  <c r="D14" i="1"/>
  <c r="I14" i="1" s="1"/>
  <c r="D13" i="1"/>
  <c r="I13" i="1" s="1"/>
  <c r="D16" i="1"/>
  <c r="I16" i="1" s="1"/>
  <c r="D15" i="1"/>
  <c r="I15" i="1" s="1"/>
  <c r="D12" i="1"/>
  <c r="I12" i="1" s="1"/>
  <c r="D10" i="1"/>
  <c r="I10" i="1" s="1"/>
  <c r="D9" i="1"/>
  <c r="I9" i="1" s="1"/>
  <c r="D7" i="1"/>
  <c r="D11" i="1"/>
  <c r="I11" i="1" s="1"/>
  <c r="D6" i="1"/>
  <c r="I6" i="1" l="1"/>
  <c r="S14" i="1"/>
  <c r="I7" i="1"/>
  <c r="U13" i="4"/>
  <c r="I5" i="1"/>
  <c r="I4" i="1"/>
  <c r="I2" i="1"/>
  <c r="S8" i="1"/>
  <c r="S4" i="1"/>
  <c r="S6" i="1"/>
  <c r="S10" i="1" l="1"/>
  <c r="S11" i="1" s="1"/>
  <c r="S7" i="1"/>
</calcChain>
</file>

<file path=xl/metadata.xml><?xml version="1.0" encoding="utf-8"?>
<metadata xmlns="http://schemas.openxmlformats.org/spreadsheetml/2006/main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haredStrings.xml><?xml version="1.0" encoding="utf-8"?>
<sst xmlns="http://schemas.openxmlformats.org/spreadsheetml/2006/main" count="236" uniqueCount="105">
  <si>
    <t>Datum</t>
  </si>
  <si>
    <t>Dauer</t>
  </si>
  <si>
    <t>Größe</t>
  </si>
  <si>
    <t>Auflösung</t>
  </si>
  <si>
    <t>1440x810</t>
  </si>
  <si>
    <t>Audiobitrate</t>
  </si>
  <si>
    <t>Gesamtbitrate</t>
  </si>
  <si>
    <t>1664x936</t>
  </si>
  <si>
    <t>1280x720</t>
  </si>
  <si>
    <t>1920x1080</t>
  </si>
  <si>
    <t>Anzahl (reg.)</t>
  </si>
  <si>
    <t>Anzahl (Boni)</t>
  </si>
  <si>
    <t>1536x864</t>
  </si>
  <si>
    <t>Position</t>
  </si>
  <si>
    <t>Wert</t>
  </si>
  <si>
    <t>Gesamtanzahl (reg.)</t>
  </si>
  <si>
    <t>Gesamtanzahl (Boni)</t>
  </si>
  <si>
    <t>Gesamtgröße</t>
  </si>
  <si>
    <t>Lfd. #</t>
  </si>
  <si>
    <t>Status</t>
  </si>
  <si>
    <t>Nicht begonnen</t>
  </si>
  <si>
    <t>Bonus offen</t>
  </si>
  <si>
    <t>Bonus In Bearbeitung</t>
  </si>
  <si>
    <t>In Bearbeitung</t>
  </si>
  <si>
    <t>Erledigt</t>
  </si>
  <si>
    <t>Bonus</t>
  </si>
  <si>
    <t>Meistgenutzte Auflösung</t>
  </si>
  <si>
    <t>Durchschnittliche Audiobitrate</t>
  </si>
  <si>
    <t>Durchschnittliche Gesamtbitrate</t>
  </si>
  <si>
    <t>Gesamtdauer (Bonus)</t>
  </si>
  <si>
    <t>Titel</t>
  </si>
  <si>
    <t>Hosts</t>
  </si>
  <si>
    <t>Gäste</t>
  </si>
  <si>
    <t>Es geht los – und keiner war vorbereitet</t>
  </si>
  <si>
    <t>A</t>
  </si>
  <si>
    <t>A, B</t>
  </si>
  <si>
    <t>A, F</t>
  </si>
  <si>
    <t>A, B, F</t>
  </si>
  <si>
    <t>A, B, F, M</t>
  </si>
  <si>
    <t>A, B, M</t>
  </si>
  <si>
    <t>A, F, M</t>
  </si>
  <si>
    <t>A, M</t>
  </si>
  <si>
    <t>Ja</t>
  </si>
  <si>
    <t>Zwischen Zapfhahn und Wahnsinn</t>
  </si>
  <si>
    <t>Wie wir (endlich) auf den Namen kamen</t>
  </si>
  <si>
    <t>Wir sind alt!</t>
  </si>
  <si>
    <t>Hier spielt die Musik! Oder doch nicht?</t>
  </si>
  <si>
    <t>Diese Folge sorgt für Stress im Kommentarbereich</t>
  </si>
  <si>
    <t>Verstoffwechselt</t>
  </si>
  <si>
    <t>St. #</t>
  </si>
  <si>
    <t>F. #</t>
  </si>
  <si>
    <t>Hochgeladen</t>
  </si>
  <si>
    <t>Released</t>
  </si>
  <si>
    <t>Link</t>
  </si>
  <si>
    <t>YouTube</t>
  </si>
  <si>
    <t>Spotify</t>
  </si>
  <si>
    <t>Anzahl Folgen (insg.)</t>
  </si>
  <si>
    <t>Gesamtdauer (insg.)</t>
  </si>
  <si>
    <t>Gesamtdauer (reg.)</t>
  </si>
  <si>
    <t>Größe (WAV)</t>
  </si>
  <si>
    <t>Größe (MP4)</t>
  </si>
  <si>
    <t>Gesamtgröße (WAV)</t>
  </si>
  <si>
    <t>Gesamtgröße (MP4)</t>
  </si>
  <si>
    <t>Gesamtgröße (insg.)</t>
  </si>
  <si>
    <t>Anzahl Folgen (reg.)</t>
  </si>
  <si>
    <t>Anzahl Folgen (Bonus)</t>
  </si>
  <si>
    <t>Upload</t>
  </si>
  <si>
    <t>Anzahl Staffeln</t>
  </si>
  <si>
    <t>Bitrate (WAV)</t>
  </si>
  <si>
    <t>AudioBR (MP4)</t>
  </si>
  <si>
    <t>GesamtBR (MP4)</t>
  </si>
  <si>
    <t>Durchschnittsdauer / Folge</t>
  </si>
  <si>
    <t>Durchschnittl. Folgen pro Staffel</t>
  </si>
  <si>
    <t>Durchschnittl. BR (WAV)</t>
  </si>
  <si>
    <t>Durchschnittl. AudioBR (MP4)</t>
  </si>
  <si>
    <t>Durchschnittl. GesamtBR (MP4)</t>
  </si>
  <si>
    <t>-</t>
  </si>
  <si>
    <t>Raus / Offen (insg.)</t>
  </si>
  <si>
    <t>Streamdauer</t>
  </si>
  <si>
    <t>Entfallen (Roh)</t>
  </si>
  <si>
    <t>Regulär (Roh)</t>
  </si>
  <si>
    <t>Bonus (Roh)</t>
  </si>
  <si>
    <t>Regulär (cutted)</t>
  </si>
  <si>
    <t>Bonus (cutted)</t>
  </si>
  <si>
    <t>Raus / Offen</t>
  </si>
  <si>
    <t>Anzahl Streams</t>
  </si>
  <si>
    <t>Gesamtdauer</t>
  </si>
  <si>
    <t>Gesamtdauer (reg., roh)</t>
  </si>
  <si>
    <t>Gesamtdauer (Bonus, roh)</t>
  </si>
  <si>
    <t>Entfallene Zeit (insg., roh)</t>
  </si>
  <si>
    <t>Gesamtdauer (reg., cutted)</t>
  </si>
  <si>
    <t>Gesamtdauer (Bonus, cutted)</t>
  </si>
  <si>
    <t>Gegenrechnung = Entfallene Zeit</t>
  </si>
  <si>
    <t>Gegenrechnung = NULL</t>
  </si>
  <si>
    <t>Vergenusswurzelt</t>
  </si>
  <si>
    <t xml:space="preserve"> </t>
  </si>
  <si>
    <t>Gecutted</t>
  </si>
  <si>
    <t>Gerendert</t>
  </si>
  <si>
    <t>Alkohol, Abos und Angriff aus dem Insektenreich</t>
  </si>
  <si>
    <t>Stream</t>
  </si>
  <si>
    <t>Hamsternapping</t>
  </si>
  <si>
    <t>Krank, verwirrt &amp; komplett random – Also Alles, wie immer</t>
  </si>
  <si>
    <t>Gesamtanzahl Folgen</t>
  </si>
  <si>
    <t>Fabis Türkeireise – Ankunft im Durcheinander</t>
  </si>
  <si>
    <t>Fabis Türkeireise – Hotelzimmer oder Wohnung?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</si>
</sst>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2">
    <numFmt numFmtId="43" formatCode="_-* #,##0.00_-;\-* #,##0.00_-;_-* &quot;-&quot;??_-;_-@_-"/>
    <numFmt numFmtId="164" formatCode="0000"/>
    <numFmt numFmtId="165" formatCode="#,##0.0\ &quot;GB&quot;"/>
    <numFmt numFmtId="166" formatCode="#,##0\ &quot;kBit/s&quot;"/>
    <numFmt numFmtId="167" formatCode="#,##0\ &quot;Folgen&quot;"/>
    <numFmt numFmtId="168" formatCode="#,##0\ &quot;Streams&quot;"/>
    <numFmt numFmtId="169" formatCode="#,##0.00\ &quot;kBit/s&quot;"/>
    <numFmt numFmtId="170" formatCode="0\ &quot;Streams&quot;"/>
    <numFmt numFmtId="171" formatCode="[hh]:mm:ss"/>
    <numFmt numFmtId="172" formatCode="00"/>
    <numFmt numFmtId="173" formatCode="#,##0.00\ &quot;GB&quot;"/>
    <numFmt numFmtId="174" formatCode="#,##0\ &quot;Bonusfolgen&quot;"/>
  </numFmts>
  <fonts count="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Arial"/>
      <family val="2"/>
    </font>
    <font>
      <sz val="11"/>
      <color theme="1"/>
      <name val="Arial"/>
      <family val="2"/>
    </font>
    <font>
      <u/>
      <sz val="11"/>
      <color theme="10"/>
      <name val="Calibri"/>
      <family val="2"/>
      <scheme val="minor"/>
    </font>
    <font>
      <u/>
      <sz val="11"/>
      <color theme="10"/>
      <name val="Arial"/>
      <family val="2"/>
    </font>
    <font>
      <sz val="8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7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hair">
        <color indexed="64"/>
      </bottom>
      <diagonal/>
    </border>
    <border>
      <left style="medium">
        <color indexed="64"/>
      </left>
      <right style="medium">
        <color indexed="64"/>
      </right>
      <top/>
      <bottom style="hair">
        <color indexed="64"/>
      </bottom>
      <diagonal/>
    </border>
    <border>
      <left style="medium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</borders>
  <cellStyleXfs count="3">
    <xf numFmtId="0" fontId="0" fillId="0" borderId="0"/>
    <xf numFmtId="43" fontId="1" fillId="0" borderId="0" applyFont="0" applyFill="0" applyBorder="0" applyAlignment="0" applyProtection="0"/>
    <xf numFmtId="0" fontId="4" fillId="0" borderId="0" applyNumberFormat="0" applyFill="0" applyBorder="0" applyAlignment="0" applyProtection="0"/>
  </cellStyleXfs>
  <cellXfs count="116">
    <xf numFmtId="0" fontId="0" fillId="0" borderId="0" xfId="0"/>
    <xf numFmtId="0" fontId="3" fillId="0" borderId="0" xfId="0" applyFont="1"/>
    <xf numFmtId="0" fontId="2" fillId="0" borderId="0" xfId="0" applyFont="1" applyAlignment="1">
      <alignment horizontal="center"/>
    </xf>
    <xf numFmtId="164" fontId="3" fillId="0" borderId="0" xfId="1" applyNumberFormat="1" applyFont="1"/>
    <xf numFmtId="14" fontId="3" fillId="0" borderId="0" xfId="0" applyNumberFormat="1" applyFont="1"/>
    <xf numFmtId="21" fontId="3" fillId="0" borderId="0" xfId="0" applyNumberFormat="1" applyFont="1"/>
    <xf numFmtId="165" fontId="3" fillId="0" borderId="0" xfId="0" applyNumberFormat="1" applyFont="1"/>
    <xf numFmtId="0" fontId="3" fillId="0" borderId="0" xfId="0" applyNumberFormat="1" applyFont="1" applyAlignment="1">
      <alignment horizontal="right"/>
    </xf>
    <xf numFmtId="166" fontId="3" fillId="0" borderId="0" xfId="0" applyNumberFormat="1" applyFont="1" applyAlignment="1">
      <alignment horizontal="right"/>
    </xf>
    <xf numFmtId="164" fontId="3" fillId="0" borderId="6" xfId="1" applyNumberFormat="1" applyFont="1" applyBorder="1"/>
    <xf numFmtId="165" fontId="3" fillId="0" borderId="5" xfId="0" applyNumberFormat="1" applyFont="1" applyBorder="1"/>
    <xf numFmtId="165" fontId="3" fillId="0" borderId="6" xfId="0" applyNumberFormat="1" applyFont="1" applyBorder="1"/>
    <xf numFmtId="0" fontId="3" fillId="0" borderId="0" xfId="0" applyFont="1" applyAlignment="1">
      <alignment horizontal="right"/>
    </xf>
    <xf numFmtId="167" fontId="3" fillId="0" borderId="0" xfId="0" applyNumberFormat="1" applyFont="1"/>
    <xf numFmtId="0" fontId="2" fillId="0" borderId="0" xfId="0" applyFont="1" applyAlignment="1">
      <alignment horizontal="right"/>
    </xf>
    <xf numFmtId="0" fontId="2" fillId="0" borderId="6" xfId="0" applyFont="1" applyBorder="1" applyAlignment="1">
      <alignment horizontal="right"/>
    </xf>
    <xf numFmtId="0" fontId="3" fillId="0" borderId="8" xfId="0" applyFont="1" applyBorder="1"/>
    <xf numFmtId="0" fontId="2" fillId="0" borderId="10" xfId="0" applyFont="1" applyBorder="1" applyAlignment="1">
      <alignment horizontal="right"/>
    </xf>
    <xf numFmtId="165" fontId="3" fillId="0" borderId="10" xfId="0" applyNumberFormat="1" applyFont="1" applyBorder="1"/>
    <xf numFmtId="0" fontId="2" fillId="0" borderId="11" xfId="0" applyFont="1" applyBorder="1" applyAlignment="1">
      <alignment horizontal="right"/>
    </xf>
    <xf numFmtId="0" fontId="2" fillId="0" borderId="8" xfId="0" applyFont="1" applyBorder="1" applyAlignment="1">
      <alignment horizontal="right"/>
    </xf>
    <xf numFmtId="0" fontId="3" fillId="0" borderId="11" xfId="0" applyFont="1" applyBorder="1"/>
    <xf numFmtId="0" fontId="3" fillId="0" borderId="10" xfId="0" applyFont="1" applyBorder="1"/>
    <xf numFmtId="168" fontId="3" fillId="0" borderId="11" xfId="0" applyNumberFormat="1" applyFont="1" applyBorder="1"/>
    <xf numFmtId="168" fontId="3" fillId="0" borderId="8" xfId="0" applyNumberFormat="1" applyFont="1" applyBorder="1"/>
    <xf numFmtId="168" fontId="3" fillId="0" borderId="10" xfId="0" applyNumberFormat="1" applyFont="1" applyBorder="1"/>
    <xf numFmtId="0" fontId="3" fillId="0" borderId="9" xfId="0" applyFont="1" applyBorder="1" applyAlignment="1">
      <alignment horizontal="right"/>
    </xf>
    <xf numFmtId="0" fontId="3" fillId="0" borderId="8" xfId="0" applyFont="1" applyBorder="1" applyAlignment="1">
      <alignment horizontal="right"/>
    </xf>
    <xf numFmtId="0" fontId="3" fillId="0" borderId="13" xfId="0" applyFont="1" applyBorder="1"/>
    <xf numFmtId="167" fontId="3" fillId="0" borderId="0" xfId="0" applyNumberFormat="1" applyFont="1" applyAlignment="1">
      <alignment horizontal="right"/>
    </xf>
    <xf numFmtId="167" fontId="3" fillId="0" borderId="6" xfId="0" applyNumberFormat="1" applyFont="1" applyBorder="1"/>
    <xf numFmtId="0" fontId="0" fillId="0" borderId="6" xfId="0" applyBorder="1"/>
    <xf numFmtId="0" fontId="3" fillId="0" borderId="6" xfId="0" applyFont="1" applyBorder="1"/>
    <xf numFmtId="170" fontId="3" fillId="0" borderId="5" xfId="0" applyNumberFormat="1" applyFont="1" applyBorder="1"/>
    <xf numFmtId="170" fontId="3" fillId="0" borderId="6" xfId="0" applyNumberFormat="1" applyFont="1" applyBorder="1"/>
    <xf numFmtId="0" fontId="2" fillId="0" borderId="14" xfId="0" applyFont="1" applyBorder="1" applyAlignment="1">
      <alignment horizontal="right"/>
    </xf>
    <xf numFmtId="0" fontId="3" fillId="0" borderId="14" xfId="0" applyFont="1" applyBorder="1"/>
    <xf numFmtId="0" fontId="2" fillId="0" borderId="15" xfId="0" applyFont="1" applyBorder="1" applyAlignment="1">
      <alignment horizontal="right"/>
    </xf>
    <xf numFmtId="167" fontId="3" fillId="0" borderId="15" xfId="0" applyNumberFormat="1" applyFont="1" applyBorder="1"/>
    <xf numFmtId="171" fontId="3" fillId="0" borderId="8" xfId="0" applyNumberFormat="1" applyFont="1" applyBorder="1"/>
    <xf numFmtId="171" fontId="3" fillId="0" borderId="15" xfId="0" applyNumberFormat="1" applyFont="1" applyBorder="1"/>
    <xf numFmtId="0" fontId="2" fillId="0" borderId="1" xfId="0" applyFont="1" applyBorder="1" applyAlignment="1">
      <alignment horizontal="center"/>
    </xf>
    <xf numFmtId="0" fontId="2" fillId="0" borderId="3" xfId="0" applyFont="1" applyBorder="1" applyAlignment="1">
      <alignment horizontal="center"/>
    </xf>
    <xf numFmtId="0" fontId="2" fillId="0" borderId="4" xfId="0" applyFont="1" applyBorder="1" applyAlignment="1">
      <alignment horizontal="center"/>
    </xf>
    <xf numFmtId="0" fontId="3" fillId="0" borderId="5" xfId="0" applyFont="1" applyBorder="1" applyAlignment="1">
      <alignment horizontal="right"/>
    </xf>
    <xf numFmtId="169" fontId="3" fillId="0" borderId="6" xfId="0" applyNumberFormat="1" applyFont="1" applyBorder="1"/>
    <xf numFmtId="169" fontId="3" fillId="0" borderId="12" xfId="0" applyNumberFormat="1" applyFont="1" applyBorder="1"/>
    <xf numFmtId="172" fontId="3" fillId="0" borderId="0" xfId="0" applyNumberFormat="1" applyFont="1" applyAlignment="1">
      <alignment horizontal="right"/>
    </xf>
    <xf numFmtId="171" fontId="3" fillId="0" borderId="0" xfId="0" applyNumberFormat="1" applyFont="1" applyAlignment="1">
      <alignment horizontal="right"/>
    </xf>
    <xf numFmtId="0" fontId="2" fillId="0" borderId="2" xfId="0" applyFont="1" applyBorder="1" applyAlignment="1">
      <alignment horizontal="center"/>
    </xf>
    <xf numFmtId="172" fontId="3" fillId="0" borderId="5" xfId="0" applyNumberFormat="1" applyFont="1" applyBorder="1" applyAlignment="1">
      <alignment horizontal="right"/>
    </xf>
    <xf numFmtId="172" fontId="3" fillId="0" borderId="6" xfId="0" applyNumberFormat="1" applyFont="1" applyBorder="1" applyAlignment="1">
      <alignment horizontal="right"/>
    </xf>
    <xf numFmtId="172" fontId="3" fillId="0" borderId="7" xfId="0" applyNumberFormat="1" applyFont="1" applyBorder="1" applyAlignment="1">
      <alignment horizontal="right"/>
    </xf>
    <xf numFmtId="172" fontId="3" fillId="0" borderId="12" xfId="0" applyNumberFormat="1" applyFont="1" applyBorder="1" applyAlignment="1">
      <alignment horizontal="right"/>
    </xf>
    <xf numFmtId="0" fontId="2" fillId="0" borderId="9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2" fillId="0" borderId="12" xfId="0" applyFont="1" applyBorder="1" applyAlignment="1">
      <alignment horizontal="center"/>
    </xf>
    <xf numFmtId="0" fontId="3" fillId="0" borderId="6" xfId="0" applyFont="1" applyBorder="1" applyAlignment="1">
      <alignment horizontal="right"/>
    </xf>
    <xf numFmtId="0" fontId="3" fillId="0" borderId="7" xfId="0" applyFont="1" applyBorder="1" applyAlignment="1">
      <alignment horizontal="right"/>
    </xf>
    <xf numFmtId="171" fontId="3" fillId="0" borderId="7" xfId="0" applyNumberFormat="1" applyFont="1" applyBorder="1" applyAlignment="1">
      <alignment horizontal="right"/>
    </xf>
    <xf numFmtId="0" fontId="3" fillId="0" borderId="12" xfId="0" applyFont="1" applyBorder="1" applyAlignment="1">
      <alignment horizontal="right"/>
    </xf>
    <xf numFmtId="14" fontId="3" fillId="0" borderId="5" xfId="0" applyNumberFormat="1" applyFont="1" applyBorder="1" applyAlignment="1">
      <alignment horizontal="right"/>
    </xf>
    <xf numFmtId="14" fontId="3" fillId="0" borderId="6" xfId="0" applyNumberFormat="1" applyFont="1" applyBorder="1" applyAlignment="1">
      <alignment horizontal="right"/>
    </xf>
    <xf numFmtId="14" fontId="3" fillId="0" borderId="12" xfId="0" applyNumberFormat="1" applyFont="1" applyBorder="1" applyAlignment="1">
      <alignment horizontal="right"/>
    </xf>
    <xf numFmtId="14" fontId="3" fillId="0" borderId="0" xfId="0" applyNumberFormat="1" applyFont="1" applyAlignment="1">
      <alignment horizontal="right"/>
    </xf>
    <xf numFmtId="0" fontId="5" fillId="0" borderId="0" xfId="2" applyFont="1" applyAlignment="1">
      <alignment horizontal="center"/>
    </xf>
    <xf numFmtId="0" fontId="5" fillId="0" borderId="6" xfId="2" applyFont="1" applyBorder="1" applyAlignment="1">
      <alignment horizontal="center"/>
    </xf>
    <xf numFmtId="14" fontId="3" fillId="0" borderId="0" xfId="0" applyNumberFormat="1" applyFont="1" applyBorder="1" applyAlignment="1">
      <alignment horizontal="right"/>
    </xf>
    <xf numFmtId="14" fontId="3" fillId="0" borderId="7" xfId="0" applyNumberFormat="1" applyFont="1" applyBorder="1" applyAlignment="1">
      <alignment horizontal="right"/>
    </xf>
    <xf numFmtId="173" fontId="3" fillId="0" borderId="5" xfId="0" applyNumberFormat="1" applyFont="1" applyBorder="1" applyAlignment="1">
      <alignment horizontal="right"/>
    </xf>
    <xf numFmtId="173" fontId="3" fillId="0" borderId="6" xfId="0" applyNumberFormat="1" applyFont="1" applyBorder="1" applyAlignment="1">
      <alignment horizontal="right"/>
    </xf>
    <xf numFmtId="173" fontId="3" fillId="0" borderId="12" xfId="0" applyNumberFormat="1" applyFont="1" applyBorder="1" applyAlignment="1">
      <alignment horizontal="right"/>
    </xf>
    <xf numFmtId="173" fontId="3" fillId="0" borderId="0" xfId="0" applyNumberFormat="1" applyFont="1" applyAlignment="1">
      <alignment horizontal="right"/>
    </xf>
    <xf numFmtId="166" fontId="3" fillId="0" borderId="0" xfId="0" applyNumberFormat="1" applyFont="1" applyBorder="1" applyAlignment="1">
      <alignment horizontal="right"/>
    </xf>
    <xf numFmtId="166" fontId="3" fillId="0" borderId="7" xfId="0" applyNumberFormat="1" applyFont="1" applyBorder="1" applyAlignment="1">
      <alignment horizontal="right"/>
    </xf>
    <xf numFmtId="166" fontId="3" fillId="0" borderId="6" xfId="0" applyNumberFormat="1" applyFont="1" applyBorder="1" applyAlignment="1">
      <alignment horizontal="right"/>
    </xf>
    <xf numFmtId="166" fontId="3" fillId="0" borderId="12" xfId="0" applyNumberFormat="1" applyFont="1" applyBorder="1" applyAlignment="1">
      <alignment horizontal="right"/>
    </xf>
    <xf numFmtId="173" fontId="3" fillId="0" borderId="8" xfId="0" applyNumberFormat="1" applyFont="1" applyBorder="1"/>
    <xf numFmtId="169" fontId="3" fillId="0" borderId="8" xfId="0" applyNumberFormat="1" applyFont="1" applyBorder="1"/>
    <xf numFmtId="173" fontId="3" fillId="0" borderId="10" xfId="0" applyNumberFormat="1" applyFont="1" applyBorder="1"/>
    <xf numFmtId="169" fontId="3" fillId="0" borderId="10" xfId="0" applyNumberFormat="1" applyFont="1" applyBorder="1"/>
    <xf numFmtId="0" fontId="3" fillId="0" borderId="15" xfId="0" applyFont="1" applyBorder="1"/>
    <xf numFmtId="21" fontId="3" fillId="0" borderId="0" xfId="0" applyNumberFormat="1" applyFont="1" applyAlignment="1">
      <alignment horizontal="center"/>
    </xf>
    <xf numFmtId="171" fontId="3" fillId="0" borderId="0" xfId="0" applyNumberFormat="1" applyFont="1"/>
    <xf numFmtId="171" fontId="3" fillId="0" borderId="0" xfId="0" applyNumberFormat="1" applyFont="1" applyAlignment="1">
      <alignment horizontal="center"/>
    </xf>
    <xf numFmtId="0" fontId="2" fillId="0" borderId="16" xfId="0" applyFont="1" applyBorder="1" applyAlignment="1">
      <alignment horizontal="right"/>
    </xf>
    <xf numFmtId="171" fontId="3" fillId="0" borderId="16" xfId="0" applyNumberFormat="1" applyFont="1" applyBorder="1"/>
    <xf numFmtId="171" fontId="3" fillId="0" borderId="12" xfId="0" applyNumberFormat="1" applyFont="1" applyBorder="1"/>
    <xf numFmtId="171" fontId="3" fillId="0" borderId="6" xfId="0" applyNumberFormat="1" applyFont="1" applyBorder="1"/>
    <xf numFmtId="174" fontId="3" fillId="0" borderId="0" xfId="0" applyNumberFormat="1" applyFont="1"/>
    <xf numFmtId="14" fontId="3" fillId="0" borderId="0" xfId="0" applyNumberFormat="1" applyFont="1" applyBorder="1"/>
    <xf numFmtId="21" fontId="3" fillId="0" borderId="0" xfId="0" applyNumberFormat="1" applyFont="1" applyBorder="1"/>
    <xf numFmtId="21" fontId="3" fillId="0" borderId="0" xfId="0" applyNumberFormat="1" applyFont="1" applyBorder="1" applyAlignment="1">
      <alignment horizontal="center"/>
    </xf>
    <xf numFmtId="171" fontId="3" fillId="0" borderId="0" xfId="0" applyNumberFormat="1" applyFont="1" applyBorder="1"/>
    <xf numFmtId="167" fontId="3" fillId="0" borderId="0" xfId="0" applyNumberFormat="1" applyFont="1" applyBorder="1"/>
    <xf numFmtId="174" fontId="3" fillId="0" borderId="0" xfId="0" applyNumberFormat="1" applyFont="1" applyBorder="1"/>
    <xf numFmtId="167" fontId="3" fillId="0" borderId="0" xfId="0" applyNumberFormat="1" applyFont="1" applyBorder="1" applyAlignment="1">
      <alignment horizontal="right"/>
    </xf>
    <xf numFmtId="0" fontId="3" fillId="0" borderId="0" xfId="0" applyNumberFormat="1" applyFont="1" applyBorder="1" applyAlignment="1">
      <alignment horizontal="right"/>
    </xf>
    <xf numFmtId="173" fontId="3" fillId="0" borderId="0" xfId="0" applyNumberFormat="1" applyFont="1" applyBorder="1" applyAlignment="1">
      <alignment horizontal="right"/>
    </xf>
    <xf numFmtId="173" fontId="3" fillId="0" borderId="7" xfId="0" applyNumberFormat="1" applyFont="1" applyBorder="1" applyAlignment="1">
      <alignment horizontal="right"/>
    </xf>
    <xf numFmtId="171" fontId="3" fillId="0" borderId="0" xfId="0" applyNumberFormat="1" applyFont="1" applyBorder="1" applyAlignment="1">
      <alignment horizontal="right"/>
    </xf>
    <xf numFmtId="167" fontId="3" fillId="0" borderId="8" xfId="0" applyNumberFormat="1" applyFont="1" applyBorder="1"/>
    <xf numFmtId="174" fontId="3" fillId="0" borderId="0" xfId="0" applyNumberFormat="1" applyFont="1" applyAlignment="1">
      <alignment horizontal="center"/>
    </xf>
    <xf numFmtId="171" fontId="3" fillId="0" borderId="0" xfId="0" applyNumberFormat="1" applyFont="1" applyBorder="1" applyAlignment="1">
      <alignment horizontal="center"/>
    </xf>
    <xf numFmtId="167" fontId="3" fillId="0" borderId="0" xfId="0" applyNumberFormat="1" applyFont="1" applyBorder="1" applyAlignment="1">
      <alignment horizontal="center"/>
    </xf>
    <xf numFmtId="167" fontId="3" fillId="0" borderId="0" xfId="0" applyNumberFormat="1" applyFont="1" applyAlignment="1">
      <alignment horizontal="center"/>
    </xf>
    <xf numFmtId="174" fontId="3" fillId="0" borderId="0" xfId="0" applyNumberFormat="1" applyFont="1" applyBorder="1" applyAlignment="1">
      <alignment horizontal="center"/>
    </xf>
    <xf numFmtId="164" fontId="3" fillId="0" borderId="12" xfId="1" applyNumberFormat="1" applyFont="1" applyBorder="1"/>
    <xf numFmtId="14" fontId="3" fillId="0" borderId="7" xfId="0" applyNumberFormat="1" applyFont="1" applyBorder="1"/>
    <xf numFmtId="21" fontId="3" fillId="0" borderId="7" xfId="0" applyNumberFormat="1" applyFont="1" applyBorder="1"/>
    <xf numFmtId="171" fontId="3" fillId="0" borderId="7" xfId="0" applyNumberFormat="1" applyFont="1" applyBorder="1"/>
    <xf numFmtId="167" fontId="3" fillId="0" borderId="7" xfId="0" applyNumberFormat="1" applyFont="1" applyBorder="1"/>
    <xf numFmtId="174" fontId="3" fillId="0" borderId="7" xfId="0" applyNumberFormat="1" applyFont="1" applyBorder="1"/>
    <xf numFmtId="167" fontId="3" fillId="0" borderId="7" xfId="0" applyNumberFormat="1" applyFont="1" applyBorder="1" applyAlignment="1">
      <alignment horizontal="right"/>
    </xf>
    <xf numFmtId="0" fontId="3" fillId="0" borderId="7" xfId="0" applyNumberFormat="1" applyFont="1" applyBorder="1" applyAlignment="1">
      <alignment horizontal="right"/>
    </xf>
    <xf numFmtId="165" fontId="3" fillId="0" borderId="12" xfId="0" applyNumberFormat="1" applyFont="1" applyBorder="1"/>
  </cellXfs>
  <cellStyles count="3">
    <cellStyle name="Komma" xfId="1" builtinId="3"/>
    <cellStyle name="Link" xfId="2" builtinId="8"/>
    <cellStyle name="Stand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eetMetadata" Target="metadata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8" Type="http://schemas.openxmlformats.org/officeDocument/2006/relationships/hyperlink" Target="https://open.spotify.com/episode/2Q3MWEfRDQlLh7UuXEAPQ3?si=e0a28c295c9b4108" TargetMode="External"/><Relationship Id="rId13" Type="http://schemas.openxmlformats.org/officeDocument/2006/relationships/hyperlink" Target="https://open.spotify.com/episode/0g12kW79DtVRhfjydiUcih?si=42be965d505b43c3" TargetMode="External"/><Relationship Id="rId3" Type="http://schemas.openxmlformats.org/officeDocument/2006/relationships/hyperlink" Target="https://youtu.be/KtYFAW13E70?si=oBAWcMUKhMI-d9QI" TargetMode="External"/><Relationship Id="rId7" Type="http://schemas.openxmlformats.org/officeDocument/2006/relationships/hyperlink" Target="https://youtu.be/mhLOGIP_fow" TargetMode="External"/><Relationship Id="rId12" Type="http://schemas.openxmlformats.org/officeDocument/2006/relationships/hyperlink" Target="https://open.spotify.com/episode/5kgtvKIE2D5SMMpA8V7WOe?si=db3d12208e994962" TargetMode="External"/><Relationship Id="rId17" Type="http://schemas.openxmlformats.org/officeDocument/2006/relationships/printerSettings" Target="../printerSettings/printerSettings2.bin"/><Relationship Id="rId2" Type="http://schemas.openxmlformats.org/officeDocument/2006/relationships/hyperlink" Target="https://youtu.be/bQA3NV_8caU?si=rmARbmatwcypRmWJ" TargetMode="External"/><Relationship Id="rId16" Type="http://schemas.openxmlformats.org/officeDocument/2006/relationships/hyperlink" Target="https://youtu.be/UXBybjauP_M?si=-K4OdqADYKx8n7Cq" TargetMode="External"/><Relationship Id="rId1" Type="http://schemas.openxmlformats.org/officeDocument/2006/relationships/hyperlink" Target="https://youtu.be/0j1JTqfCXfw?si=_sSFIHvRLYB-OxPL" TargetMode="External"/><Relationship Id="rId6" Type="http://schemas.openxmlformats.org/officeDocument/2006/relationships/hyperlink" Target="https://youtu.be/yyoX0k9cb94?si=NAEX25xlNENcSKWn" TargetMode="External"/><Relationship Id="rId11" Type="http://schemas.openxmlformats.org/officeDocument/2006/relationships/hyperlink" Target="https://open.spotify.com/episode/6dgHpJQI4H56GfuVKshwvg?si=4b7075fd678f4f6f" TargetMode="External"/><Relationship Id="rId5" Type="http://schemas.openxmlformats.org/officeDocument/2006/relationships/hyperlink" Target="https://youtu.be/H76QHDH1lV4?si=t46TUSib8k8hYQr7" TargetMode="External"/><Relationship Id="rId15" Type="http://schemas.openxmlformats.org/officeDocument/2006/relationships/hyperlink" Target="https://open.spotify.com/episode/5N7w3SApqM0sbZY8PAonWr?si=5rWoO3ueScaC5l2t3rkn1g" TargetMode="External"/><Relationship Id="rId10" Type="http://schemas.openxmlformats.org/officeDocument/2006/relationships/hyperlink" Target="https://open.spotify.com/episode/7KzBvOJuGqRE487TsZv8kE?si=4e291dcdd40347cd" TargetMode="External"/><Relationship Id="rId4" Type="http://schemas.openxmlformats.org/officeDocument/2006/relationships/hyperlink" Target="https://youtu.be/DajtTSFNgi0?si=6w1tqi8gc6A7FN_e" TargetMode="External"/><Relationship Id="rId9" Type="http://schemas.openxmlformats.org/officeDocument/2006/relationships/hyperlink" Target="https://open.spotify.com/episode/3TzRBIAyVeMRYjQElX4VZE?si=57a7ee2147f64764" TargetMode="External"/><Relationship Id="rId14" Type="http://schemas.openxmlformats.org/officeDocument/2006/relationships/hyperlink" Target="https://open.spotify.com/episode/6Q5SyUvgFBMjoFAYV3oVAl?si=B8u3AnDnT0m83UNVcUowzA" TargetMode="Externa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352BF0A-5B9F-436B-9450-344000370503}">
  <sheetPr codeName="Tabelle1"/>
  <dimension ref="A1:A5"/>
  <sheetViews>
    <sheetView workbookViewId="0">
      <selection activeCell="A5" sqref="A5"/>
    </sheetView>
  </sheetViews>
  <sheetFormatPr baseColWidth="10" defaultRowHeight="15" x14ac:dyDescent="0.25"/>
  <sheetData>
    <row r="1" spans="1:1" x14ac:dyDescent="0.25">
      <c r="A1" t="s">
        <v>20</v>
      </c>
    </row>
    <row r="2" spans="1:1" x14ac:dyDescent="0.25">
      <c r="A2" t="s">
        <v>21</v>
      </c>
    </row>
    <row r="3" spans="1:1" x14ac:dyDescent="0.25">
      <c r="A3" t="s">
        <v>22</v>
      </c>
    </row>
    <row r="4" spans="1:1" x14ac:dyDescent="0.25">
      <c r="A4" t="s">
        <v>23</v>
      </c>
    </row>
    <row r="5" spans="1:1" x14ac:dyDescent="0.25">
      <c r="A5" t="s">
        <v>24</v>
      </c>
    </row>
  </sheetData>
  <pageMargins left="0.7" right="0.7" top="0.78740157499999996" bottom="0.78740157499999996" header="0.3" footer="0.3"/>
  <pageSetup paperSize="0" orientation="portrait" horizontalDpi="0" verticalDpi="0" copie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Tabelle2"/>
  <dimension ref="A1:T26"/>
  <sheetViews>
    <sheetView tabSelected="1" zoomScaleNormal="100" workbookViewId="0">
      <selection activeCell="G21" sqref="G21"/>
    </sheetView>
  </sheetViews>
  <sheetFormatPr baseColWidth="10" defaultColWidth="9.140625" defaultRowHeight="14.25" x14ac:dyDescent="0.2"/>
  <cols>
    <col min="1" max="1" width="6.5703125" style="3" bestFit="1" customWidth="1"/>
    <col min="2" max="2" width="11.28515625" style="4" bestFit="1" customWidth="1"/>
    <col min="3" max="3" width="14" style="5" bestFit="1" customWidth="1"/>
    <col min="4" max="4" width="16.28515625" style="5" bestFit="1" customWidth="1"/>
    <col min="5" max="5" width="15.140625" style="5" bestFit="1" customWidth="1"/>
    <col min="6" max="6" width="13.7109375" style="5" bestFit="1" customWidth="1"/>
    <col min="7" max="7" width="17.5703125" style="48" bestFit="1" customWidth="1"/>
    <col min="8" max="8" width="16.140625" style="83" bestFit="1" customWidth="1"/>
    <col min="9" max="9" width="13.5703125" style="83" bestFit="1" customWidth="1"/>
    <col min="10" max="10" width="13.7109375" style="13" bestFit="1" customWidth="1"/>
    <col min="11" max="11" width="14.42578125" style="89" bestFit="1" customWidth="1"/>
    <col min="12" max="12" width="15.42578125" style="29" bestFit="1" customWidth="1"/>
    <col min="13" max="13" width="11.140625" style="7" bestFit="1" customWidth="1"/>
    <col min="14" max="14" width="13.28515625" style="8" bestFit="1" customWidth="1"/>
    <col min="15" max="15" width="15.28515625" style="8" bestFit="1" customWidth="1"/>
    <col min="16" max="16" width="8.5703125" style="6" bestFit="1" customWidth="1"/>
    <col min="17" max="17" width="0.7109375" style="1" customWidth="1"/>
    <col min="18" max="18" width="35.140625" style="12" bestFit="1" customWidth="1"/>
    <col min="19" max="19" width="14.7109375" style="1" bestFit="1" customWidth="1"/>
    <col min="20" max="16384" width="9.140625" style="1"/>
  </cols>
  <sheetData>
    <row r="1" spans="1:20" s="2" customFormat="1" ht="15.75" thickBot="1" x14ac:dyDescent="0.3">
      <c r="A1" s="41" t="s">
        <v>18</v>
      </c>
      <c r="B1" s="42" t="s">
        <v>0</v>
      </c>
      <c r="C1" s="42" t="s">
        <v>78</v>
      </c>
      <c r="D1" s="42" t="s">
        <v>79</v>
      </c>
      <c r="E1" s="42" t="s">
        <v>80</v>
      </c>
      <c r="F1" s="42" t="s">
        <v>81</v>
      </c>
      <c r="G1" s="42" t="s">
        <v>82</v>
      </c>
      <c r="H1" s="42" t="s">
        <v>83</v>
      </c>
      <c r="I1" s="42" t="s">
        <v>84</v>
      </c>
      <c r="J1" s="42" t="s">
        <v>10</v>
      </c>
      <c r="K1" s="42" t="s">
        <v>11</v>
      </c>
      <c r="L1" s="42" t="s">
        <v>19</v>
      </c>
      <c r="M1" s="42" t="s">
        <v>3</v>
      </c>
      <c r="N1" s="42" t="s">
        <v>5</v>
      </c>
      <c r="O1" s="42" t="s">
        <v>6</v>
      </c>
      <c r="P1" s="43" t="s">
        <v>2</v>
      </c>
      <c r="R1" s="41" t="s">
        <v>13</v>
      </c>
      <c r="S1" s="41" t="s">
        <v>14</v>
      </c>
    </row>
    <row r="2" spans="1:20" ht="15" x14ac:dyDescent="0.25">
      <c r="A2" s="9">
        <v>1</v>
      </c>
      <c r="B2" s="4">
        <v>45744</v>
      </c>
      <c r="C2" s="5">
        <v>0.36504629629629631</v>
      </c>
      <c r="D2" s="5">
        <f t="shared" ref="D2:D18" si="0">C2-(IF(ISNUMBER(E2),E2,0)+(IF(ISNUMBER(F2),F2,0)))</f>
        <v>8.3333333333333315E-2</v>
      </c>
      <c r="E2" s="5">
        <v>0.12719907407407408</v>
      </c>
      <c r="F2" s="5">
        <v>0.1545138888888889</v>
      </c>
      <c r="G2" s="48">
        <f>SUM(Folgen!F2:F3)</f>
        <v>7.1898148148148155E-2</v>
      </c>
      <c r="I2" s="83">
        <f t="shared" ref="I2:I18" si="1">C2-(IF(ISNUMBER(G2),G2,0)+(IF(ISNUMBER(H2),H2,0)+(IF(ISNUMBER(D2),D2,0))))</f>
        <v>0.20981481481481484</v>
      </c>
      <c r="J2" s="13">
        <v>2</v>
      </c>
      <c r="L2" s="29" t="s">
        <v>21</v>
      </c>
      <c r="M2" s="7" t="s">
        <v>4</v>
      </c>
      <c r="N2" s="8">
        <v>157</v>
      </c>
      <c r="O2" s="8">
        <v>6158</v>
      </c>
      <c r="P2" s="10">
        <v>22.6</v>
      </c>
      <c r="Q2" s="16"/>
      <c r="R2" s="35" t="s">
        <v>85</v>
      </c>
      <c r="S2" s="36">
        <f>COUNTA(A:A) - 1</f>
        <v>17</v>
      </c>
    </row>
    <row r="3" spans="1:20" ht="15" x14ac:dyDescent="0.25">
      <c r="A3" s="9">
        <v>2</v>
      </c>
      <c r="B3" s="4">
        <v>45751</v>
      </c>
      <c r="C3" s="5">
        <v>0.23321759259259259</v>
      </c>
      <c r="D3" s="5">
        <f t="shared" si="0"/>
        <v>8.1956018518518525E-2</v>
      </c>
      <c r="E3" s="82" t="s">
        <v>76</v>
      </c>
      <c r="F3" s="5">
        <v>0.15126157407407406</v>
      </c>
      <c r="G3" s="84" t="s">
        <v>76</v>
      </c>
      <c r="I3" s="83">
        <f t="shared" si="1"/>
        <v>0.15126157407407406</v>
      </c>
      <c r="J3" s="105" t="s">
        <v>76</v>
      </c>
      <c r="L3" s="29" t="s">
        <v>21</v>
      </c>
      <c r="M3" s="7" t="s">
        <v>4</v>
      </c>
      <c r="N3" s="8">
        <v>147</v>
      </c>
      <c r="O3" s="8">
        <v>6147</v>
      </c>
      <c r="P3" s="11">
        <v>14.4</v>
      </c>
      <c r="Q3" s="16"/>
      <c r="R3" s="85" t="s">
        <v>86</v>
      </c>
      <c r="S3" s="86">
        <f>SUM(C:C)</f>
        <v>3.6505092592592594</v>
      </c>
    </row>
    <row r="4" spans="1:20" ht="15" x14ac:dyDescent="0.25">
      <c r="A4" s="9">
        <v>3</v>
      </c>
      <c r="B4" s="4">
        <v>45758</v>
      </c>
      <c r="C4" s="5">
        <v>0.38275462962962964</v>
      </c>
      <c r="D4" s="5">
        <f t="shared" si="0"/>
        <v>0</v>
      </c>
      <c r="E4" s="5">
        <v>0.27686342592592594</v>
      </c>
      <c r="F4" s="5">
        <v>0.10589120370370371</v>
      </c>
      <c r="G4" s="48">
        <f>SUM(Folgen!F4:F8)</f>
        <v>0.16012731481481482</v>
      </c>
      <c r="I4" s="83">
        <f t="shared" si="1"/>
        <v>0.22262731481481482</v>
      </c>
      <c r="J4" s="13">
        <v>5</v>
      </c>
      <c r="L4" s="29" t="s">
        <v>21</v>
      </c>
      <c r="M4" s="7" t="s">
        <v>4</v>
      </c>
      <c r="N4" s="8">
        <v>159</v>
      </c>
      <c r="O4" s="8">
        <v>6159</v>
      </c>
      <c r="P4" s="11">
        <v>23.7</v>
      </c>
      <c r="Q4" s="16"/>
      <c r="R4" s="20" t="s">
        <v>87</v>
      </c>
      <c r="S4" s="39">
        <f>SUM(C:C)-SUM(D:D)-SUM(F:F)</f>
        <v>2.299768518518519</v>
      </c>
    </row>
    <row r="5" spans="1:20" ht="15" x14ac:dyDescent="0.25">
      <c r="A5" s="9">
        <v>4</v>
      </c>
      <c r="B5" s="4">
        <v>45765</v>
      </c>
      <c r="C5" s="5">
        <v>0.24201388888888889</v>
      </c>
      <c r="D5" s="5">
        <f t="shared" si="0"/>
        <v>2.0833333333333537E-3</v>
      </c>
      <c r="E5" s="5">
        <v>0.13622685185185185</v>
      </c>
      <c r="F5" s="5">
        <v>0.1037037037037037</v>
      </c>
      <c r="G5" s="48">
        <f>SUM(Folgen!F9:'Folgen'!F11)</f>
        <v>0.10887731481481483</v>
      </c>
      <c r="I5" s="83">
        <f t="shared" si="1"/>
        <v>0.13105324074074071</v>
      </c>
      <c r="J5" s="13">
        <v>3</v>
      </c>
      <c r="L5" s="29" t="s">
        <v>21</v>
      </c>
      <c r="M5" s="7" t="s">
        <v>7</v>
      </c>
      <c r="N5" s="8">
        <v>129</v>
      </c>
      <c r="O5" s="8">
        <v>6129</v>
      </c>
      <c r="P5" s="11">
        <v>14.9</v>
      </c>
      <c r="Q5" s="16"/>
      <c r="R5" s="20" t="s">
        <v>88</v>
      </c>
      <c r="S5" s="39">
        <f>SUM(F:F)</f>
        <v>1.1112615740740741</v>
      </c>
    </row>
    <row r="6" spans="1:20" ht="15" x14ac:dyDescent="0.25">
      <c r="A6" s="9">
        <v>5</v>
      </c>
      <c r="B6" s="4">
        <v>45772</v>
      </c>
      <c r="C6" s="5">
        <v>0.2590277777777778</v>
      </c>
      <c r="D6" s="5">
        <f t="shared" si="0"/>
        <v>0</v>
      </c>
      <c r="E6" s="5">
        <v>0.2590277777777778</v>
      </c>
      <c r="F6" s="82" t="s">
        <v>76</v>
      </c>
      <c r="G6" s="48">
        <f>SUM(Folgen!F14:'Folgen'!F15)</f>
        <v>6.4432870370370363E-2</v>
      </c>
      <c r="H6" s="84" t="s">
        <v>76</v>
      </c>
      <c r="I6" s="83">
        <f t="shared" si="1"/>
        <v>0.19459490740740742</v>
      </c>
      <c r="J6" s="13">
        <v>1</v>
      </c>
      <c r="K6" s="102" t="s">
        <v>76</v>
      </c>
      <c r="L6" s="29" t="s">
        <v>23</v>
      </c>
      <c r="M6" s="7" t="s">
        <v>7</v>
      </c>
      <c r="N6" s="8">
        <v>129</v>
      </c>
      <c r="O6" s="8">
        <v>6130</v>
      </c>
      <c r="P6" s="11">
        <v>15.9</v>
      </c>
      <c r="Q6" s="16"/>
      <c r="R6" s="20" t="s">
        <v>89</v>
      </c>
      <c r="S6" s="39">
        <f>SUM(D:D)</f>
        <v>0.23947916666666666</v>
      </c>
    </row>
    <row r="7" spans="1:20" ht="15" x14ac:dyDescent="0.25">
      <c r="A7" s="9">
        <v>6</v>
      </c>
      <c r="B7" s="4">
        <v>45786</v>
      </c>
      <c r="C7" s="5">
        <v>0.17122685185185185</v>
      </c>
      <c r="D7" s="5">
        <f t="shared" si="0"/>
        <v>1.2569444444444439E-2</v>
      </c>
      <c r="E7" s="5">
        <v>0.15865740740740741</v>
      </c>
      <c r="F7" s="82" t="s">
        <v>76</v>
      </c>
      <c r="G7" s="48">
        <f>SUM(Folgen!F12)</f>
        <v>3.3379629629629627E-2</v>
      </c>
      <c r="H7" s="84" t="s">
        <v>76</v>
      </c>
      <c r="I7" s="83">
        <f t="shared" si="1"/>
        <v>0.12527777777777779</v>
      </c>
      <c r="J7" s="13">
        <v>1</v>
      </c>
      <c r="K7" s="102" t="s">
        <v>76</v>
      </c>
      <c r="L7" s="29" t="s">
        <v>23</v>
      </c>
      <c r="M7" s="7" t="s">
        <v>8</v>
      </c>
      <c r="N7" s="8">
        <v>127</v>
      </c>
      <c r="O7" s="8">
        <v>6128</v>
      </c>
      <c r="P7" s="11">
        <v>10.5</v>
      </c>
      <c r="Q7" s="16"/>
      <c r="R7" s="37" t="s">
        <v>93</v>
      </c>
      <c r="S7" s="40">
        <f>S3-SUM(S4:S6)</f>
        <v>0</v>
      </c>
    </row>
    <row r="8" spans="1:20" ht="15" x14ac:dyDescent="0.25">
      <c r="A8" s="9">
        <v>7</v>
      </c>
      <c r="B8" s="4">
        <v>45800</v>
      </c>
      <c r="C8" s="5">
        <v>0.2114351851851852</v>
      </c>
      <c r="D8" s="5">
        <f t="shared" si="0"/>
        <v>2.8703703703703703E-2</v>
      </c>
      <c r="E8" s="5">
        <v>0.18273148148148149</v>
      </c>
      <c r="F8" s="82" t="s">
        <v>76</v>
      </c>
      <c r="H8" s="84" t="s">
        <v>76</v>
      </c>
      <c r="I8" s="83">
        <f t="shared" si="1"/>
        <v>0.18273148148148149</v>
      </c>
      <c r="K8" s="102" t="s">
        <v>76</v>
      </c>
      <c r="L8" s="29" t="s">
        <v>20</v>
      </c>
      <c r="M8" s="7" t="s">
        <v>8</v>
      </c>
      <c r="N8" s="8">
        <v>129</v>
      </c>
      <c r="O8" s="8">
        <v>6129</v>
      </c>
      <c r="P8" s="11">
        <v>13</v>
      </c>
      <c r="Q8" s="16"/>
      <c r="R8" s="20" t="s">
        <v>90</v>
      </c>
      <c r="S8" s="88">
        <f>SUM(G:G)</f>
        <v>0.4387152777777778</v>
      </c>
    </row>
    <row r="9" spans="1:20" ht="15" x14ac:dyDescent="0.25">
      <c r="A9" s="9">
        <v>8</v>
      </c>
      <c r="B9" s="4">
        <v>45807</v>
      </c>
      <c r="C9" s="5">
        <v>0.19554398148148147</v>
      </c>
      <c r="D9" s="5">
        <f t="shared" si="0"/>
        <v>0</v>
      </c>
      <c r="E9" s="5">
        <v>0.19554398148148147</v>
      </c>
      <c r="F9" s="82" t="s">
        <v>76</v>
      </c>
      <c r="H9" s="84" t="s">
        <v>76</v>
      </c>
      <c r="I9" s="83">
        <f t="shared" si="1"/>
        <v>0.19554398148148147</v>
      </c>
      <c r="K9" s="102" t="s">
        <v>76</v>
      </c>
      <c r="L9" s="29" t="s">
        <v>20</v>
      </c>
      <c r="M9" s="7" t="s">
        <v>8</v>
      </c>
      <c r="N9" s="8">
        <v>128</v>
      </c>
      <c r="O9" s="8">
        <v>6129</v>
      </c>
      <c r="P9" s="11">
        <v>12</v>
      </c>
      <c r="Q9" s="16"/>
      <c r="R9" s="20" t="s">
        <v>91</v>
      </c>
      <c r="S9" s="88">
        <f>SUM(H:H)</f>
        <v>0</v>
      </c>
    </row>
    <row r="10" spans="1:20" ht="15" x14ac:dyDescent="0.25">
      <c r="A10" s="9">
        <v>9</v>
      </c>
      <c r="B10" s="4">
        <v>45821</v>
      </c>
      <c r="C10" s="5">
        <v>0.16789351851851853</v>
      </c>
      <c r="D10" s="5">
        <f t="shared" si="0"/>
        <v>0</v>
      </c>
      <c r="E10" s="5">
        <v>4.7199074074074074E-2</v>
      </c>
      <c r="F10" s="5">
        <v>0.12069444444444444</v>
      </c>
      <c r="I10" s="83">
        <f t="shared" si="1"/>
        <v>0.16789351851851853</v>
      </c>
      <c r="L10" s="29" t="s">
        <v>20</v>
      </c>
      <c r="M10" s="7" t="s">
        <v>8</v>
      </c>
      <c r="N10" s="8">
        <v>129</v>
      </c>
      <c r="O10" s="8">
        <v>6131</v>
      </c>
      <c r="P10" s="11">
        <v>10.3</v>
      </c>
      <c r="Q10" s="16"/>
      <c r="R10" s="20" t="s">
        <v>77</v>
      </c>
      <c r="S10" s="88">
        <f>SUM(I:I)</f>
        <v>2.9723148148148146</v>
      </c>
    </row>
    <row r="11" spans="1:20" ht="15.75" thickBot="1" x14ac:dyDescent="0.3">
      <c r="A11" s="9">
        <v>10</v>
      </c>
      <c r="B11" s="4">
        <v>45835</v>
      </c>
      <c r="C11" s="5">
        <v>0.2026273148148148</v>
      </c>
      <c r="D11" s="5">
        <f t="shared" si="0"/>
        <v>3.0833333333333324E-2</v>
      </c>
      <c r="E11" s="5">
        <v>0.17179398148148148</v>
      </c>
      <c r="F11" s="82" t="s">
        <v>76</v>
      </c>
      <c r="H11" s="84" t="s">
        <v>76</v>
      </c>
      <c r="I11" s="83">
        <f t="shared" si="1"/>
        <v>0.17179398148148148</v>
      </c>
      <c r="K11" s="102" t="s">
        <v>76</v>
      </c>
      <c r="L11" s="29" t="s">
        <v>20</v>
      </c>
      <c r="M11" s="7" t="s">
        <v>8</v>
      </c>
      <c r="N11" s="8">
        <v>130</v>
      </c>
      <c r="O11" s="8">
        <v>6130</v>
      </c>
      <c r="P11" s="11">
        <v>12.5</v>
      </c>
      <c r="Q11" s="16"/>
      <c r="R11" s="17" t="s">
        <v>92</v>
      </c>
      <c r="S11" s="87">
        <f>S3-SUM(S8:S10)</f>
        <v>0.23947916666666691</v>
      </c>
    </row>
    <row r="12" spans="1:20" ht="15" x14ac:dyDescent="0.25">
      <c r="A12" s="9">
        <v>11</v>
      </c>
      <c r="B12" s="4">
        <v>45899</v>
      </c>
      <c r="C12" s="5">
        <v>0.18915509259259258</v>
      </c>
      <c r="D12" s="5">
        <f t="shared" si="0"/>
        <v>0</v>
      </c>
      <c r="E12" s="5">
        <v>0.18915509259259258</v>
      </c>
      <c r="F12" s="82" t="s">
        <v>76</v>
      </c>
      <c r="H12" s="84" t="s">
        <v>76</v>
      </c>
      <c r="I12" s="83">
        <f t="shared" si="1"/>
        <v>0.18915509259259258</v>
      </c>
      <c r="K12" s="102" t="s">
        <v>76</v>
      </c>
      <c r="L12" s="29" t="s">
        <v>20</v>
      </c>
      <c r="M12" s="7" t="s">
        <v>9</v>
      </c>
      <c r="N12" s="8">
        <v>160</v>
      </c>
      <c r="O12" s="8">
        <v>6161</v>
      </c>
      <c r="P12" s="11">
        <v>11.7</v>
      </c>
      <c r="Q12" s="16"/>
      <c r="R12" s="20" t="s">
        <v>15</v>
      </c>
      <c r="S12" s="30">
        <f>SUM(J:J)</f>
        <v>12</v>
      </c>
    </row>
    <row r="13" spans="1:20" ht="15" x14ac:dyDescent="0.25">
      <c r="A13" s="9">
        <v>12</v>
      </c>
      <c r="B13" s="4">
        <v>45905</v>
      </c>
      <c r="C13" s="5">
        <v>0.21795138888888888</v>
      </c>
      <c r="D13" s="5">
        <f t="shared" si="0"/>
        <v>0</v>
      </c>
      <c r="E13" s="5">
        <v>9.1481481481481483E-2</v>
      </c>
      <c r="F13" s="5">
        <v>0.12646990740740741</v>
      </c>
      <c r="I13" s="83">
        <f t="shared" si="1"/>
        <v>0.21795138888888888</v>
      </c>
      <c r="L13" s="29" t="s">
        <v>20</v>
      </c>
      <c r="M13" s="7" t="s">
        <v>8</v>
      </c>
      <c r="N13" s="8">
        <v>129</v>
      </c>
      <c r="O13" s="8">
        <v>6130</v>
      </c>
      <c r="P13" s="11">
        <v>13.4</v>
      </c>
      <c r="Q13" s="16"/>
      <c r="R13" s="20" t="s">
        <v>16</v>
      </c>
      <c r="S13" s="101">
        <f>SUM(K:K)</f>
        <v>0</v>
      </c>
    </row>
    <row r="14" spans="1:20" ht="15" x14ac:dyDescent="0.25">
      <c r="A14" s="9">
        <v>13</v>
      </c>
      <c r="B14" s="4">
        <v>45912</v>
      </c>
      <c r="C14" s="5">
        <v>0.25123842592592593</v>
      </c>
      <c r="D14" s="5">
        <f t="shared" si="0"/>
        <v>0</v>
      </c>
      <c r="E14" s="5">
        <v>9.2175925925925925E-2</v>
      </c>
      <c r="F14" s="5">
        <v>0.1590625</v>
      </c>
      <c r="I14" s="83">
        <f t="shared" si="1"/>
        <v>0.25123842592592593</v>
      </c>
      <c r="L14" s="29" t="s">
        <v>20</v>
      </c>
      <c r="M14" s="7" t="s">
        <v>8</v>
      </c>
      <c r="N14" s="8">
        <v>127</v>
      </c>
      <c r="O14" s="8">
        <v>6127</v>
      </c>
      <c r="P14" s="11">
        <v>15.5</v>
      </c>
      <c r="Q14" s="16"/>
      <c r="R14" s="37" t="s">
        <v>102</v>
      </c>
      <c r="S14" s="38">
        <f>SUM(S12:S13)</f>
        <v>12</v>
      </c>
      <c r="T14" s="28"/>
    </row>
    <row r="15" spans="1:20" ht="15.75" thickBot="1" x14ac:dyDescent="0.3">
      <c r="A15" s="9">
        <v>14</v>
      </c>
      <c r="B15" s="4">
        <v>45919</v>
      </c>
      <c r="C15" s="5">
        <v>0.1663425925925926</v>
      </c>
      <c r="D15" s="5">
        <f t="shared" si="0"/>
        <v>0</v>
      </c>
      <c r="E15" s="5">
        <v>0.1663425925925926</v>
      </c>
      <c r="F15" s="82" t="s">
        <v>76</v>
      </c>
      <c r="H15" s="84"/>
      <c r="I15" s="83">
        <f t="shared" si="1"/>
        <v>0.1663425925925926</v>
      </c>
      <c r="K15" s="102" t="s">
        <v>76</v>
      </c>
      <c r="L15" s="29" t="s">
        <v>20</v>
      </c>
      <c r="M15" s="7" t="s">
        <v>8</v>
      </c>
      <c r="N15" s="8">
        <v>127</v>
      </c>
      <c r="O15" s="8">
        <v>6128</v>
      </c>
      <c r="P15" s="11">
        <v>10.199999999999999</v>
      </c>
      <c r="R15" s="17" t="s">
        <v>17</v>
      </c>
      <c r="S15" s="18">
        <f>SUM(P:P)</f>
        <v>224.89999999999998</v>
      </c>
    </row>
    <row r="16" spans="1:20" ht="15" x14ac:dyDescent="0.25">
      <c r="A16" s="9">
        <v>15</v>
      </c>
      <c r="B16" s="90">
        <v>45975</v>
      </c>
      <c r="C16" s="91">
        <v>0.18966435185185185</v>
      </c>
      <c r="D16" s="91">
        <f t="shared" si="0"/>
        <v>0</v>
      </c>
      <c r="E16" s="92" t="s">
        <v>76</v>
      </c>
      <c r="F16" s="91">
        <v>0.18966435185185185</v>
      </c>
      <c r="G16" s="103" t="s">
        <v>76</v>
      </c>
      <c r="H16" s="93"/>
      <c r="I16" s="93">
        <f t="shared" si="1"/>
        <v>0.18966435185185185</v>
      </c>
      <c r="J16" s="104" t="s">
        <v>76</v>
      </c>
      <c r="K16" s="95"/>
      <c r="L16" s="96" t="s">
        <v>21</v>
      </c>
      <c r="M16" s="97" t="s">
        <v>12</v>
      </c>
      <c r="N16" s="73">
        <v>127</v>
      </c>
      <c r="O16" s="73">
        <v>6128</v>
      </c>
      <c r="P16" s="11">
        <v>11.7</v>
      </c>
      <c r="R16" s="19" t="s">
        <v>20</v>
      </c>
      <c r="S16" s="23">
        <f>COUNTIF(L:L, "Nicht begonnen")</f>
        <v>10</v>
      </c>
    </row>
    <row r="17" spans="1:19" ht="15" x14ac:dyDescent="0.25">
      <c r="A17" s="9">
        <v>16</v>
      </c>
      <c r="B17" s="90">
        <v>45989</v>
      </c>
      <c r="C17" s="91">
        <v>0.20537037037037037</v>
      </c>
      <c r="D17" s="91">
        <f t="shared" si="0"/>
        <v>0</v>
      </c>
      <c r="E17" s="5">
        <v>0.20537037037037037</v>
      </c>
      <c r="F17" s="92" t="s">
        <v>76</v>
      </c>
      <c r="G17" s="100"/>
      <c r="H17" s="103" t="s">
        <v>76</v>
      </c>
      <c r="I17" s="93">
        <f t="shared" si="1"/>
        <v>0.20537037037037037</v>
      </c>
      <c r="J17" s="94"/>
      <c r="K17" s="106" t="s">
        <v>76</v>
      </c>
      <c r="L17" s="96" t="s">
        <v>20</v>
      </c>
      <c r="M17" s="97" t="s">
        <v>12</v>
      </c>
      <c r="N17" s="73">
        <v>128</v>
      </c>
      <c r="O17" s="73">
        <v>6128</v>
      </c>
      <c r="P17" s="11">
        <v>12.6</v>
      </c>
      <c r="Q17" s="31"/>
      <c r="R17" s="20" t="s">
        <v>21</v>
      </c>
      <c r="S17" s="24">
        <f>COUNTIF(L:L, "Bonus offen")</f>
        <v>5</v>
      </c>
    </row>
    <row r="18" spans="1:19" ht="15.75" thickBot="1" x14ac:dyDescent="0.3">
      <c r="A18" s="107">
        <v>17</v>
      </c>
      <c r="B18" s="108">
        <v>46010</v>
      </c>
      <c r="C18" s="109"/>
      <c r="D18" s="109">
        <f t="shared" si="0"/>
        <v>0</v>
      </c>
      <c r="E18" s="109"/>
      <c r="F18" s="109"/>
      <c r="G18" s="59"/>
      <c r="H18" s="110"/>
      <c r="I18" s="110">
        <f t="shared" si="1"/>
        <v>0</v>
      </c>
      <c r="J18" s="111"/>
      <c r="K18" s="112"/>
      <c r="L18" s="113" t="s">
        <v>20</v>
      </c>
      <c r="M18" s="114" t="s">
        <v>12</v>
      </c>
      <c r="N18" s="74"/>
      <c r="O18" s="74"/>
      <c r="P18" s="115"/>
      <c r="Q18" s="32"/>
      <c r="R18" s="20" t="s">
        <v>22</v>
      </c>
      <c r="S18" s="24">
        <f>COUNTIF(L:L, "Bonus In Bearbeitung")</f>
        <v>0</v>
      </c>
    </row>
    <row r="19" spans="1:19" ht="15" x14ac:dyDescent="0.25">
      <c r="Q19" s="32"/>
      <c r="R19" s="20" t="s">
        <v>23</v>
      </c>
      <c r="S19" s="24">
        <f>COUNTIF(L:L, "In Bearbeitung")</f>
        <v>2</v>
      </c>
    </row>
    <row r="20" spans="1:19" ht="15.75" thickBot="1" x14ac:dyDescent="0.3">
      <c r="R20" s="17" t="s">
        <v>24</v>
      </c>
      <c r="S20" s="25">
        <f>COUNTIF(L:L, "Erledigt")</f>
        <v>0</v>
      </c>
    </row>
    <row r="21" spans="1:19" ht="15" x14ac:dyDescent="0.25">
      <c r="R21" s="19" t="s">
        <v>26</v>
      </c>
      <c r="S21" s="44" t="str" cm="1">
        <f t="array" ref="S21">IFERROR(INDEX(M2:M2500, MATCH(MAX(COUNTIF(M2:M2500, M2:M2500)), COUNTIF(M2:M2500, M2:M2500), 0)), "Kein häufigster Wert")</f>
        <v>1280x720</v>
      </c>
    </row>
    <row r="22" spans="1:19" ht="15" x14ac:dyDescent="0.25">
      <c r="R22" s="20" t="s">
        <v>27</v>
      </c>
      <c r="S22" s="45">
        <f>AVERAGE(N:N)</f>
        <v>135.125</v>
      </c>
    </row>
    <row r="23" spans="1:19" ht="15.75" thickBot="1" x14ac:dyDescent="0.3">
      <c r="R23" s="17" t="s">
        <v>28</v>
      </c>
      <c r="S23" s="46">
        <f>AVERAGE(O:O)</f>
        <v>6135.75</v>
      </c>
    </row>
    <row r="24" spans="1:19" ht="15" x14ac:dyDescent="0.25">
      <c r="R24" s="19">
        <v>2025</v>
      </c>
      <c r="S24" s="33">
        <f>COUNTIFS($B$2:$B$2500, "&gt;=" &amp; DATE($R24, 1, 1), $B$2:$B$2500, "&lt;=" &amp; DATE($R24, 12, 31))</f>
        <v>17</v>
      </c>
    </row>
    <row r="25" spans="1:19" ht="15" x14ac:dyDescent="0.25">
      <c r="R25" s="20">
        <v>2026</v>
      </c>
      <c r="S25" s="34">
        <f>COUNTIFS($B$2:$B$2500, "&gt;=" &amp; DATE($R25, 1, 1), $B$2:$B$2500, "&lt;=" &amp; DATE($R25, 12, 31))</f>
        <v>0</v>
      </c>
    </row>
    <row r="26" spans="1:19" ht="15" x14ac:dyDescent="0.25">
      <c r="R26" s="20">
        <v>2027</v>
      </c>
      <c r="S26" s="34">
        <f>COUNTIFS($B$2:$B$2500, "&gt;=" &amp; DATE($R26, 1, 1), $B$2:$B$2500, "&lt;=" &amp; DATE($R26, 12, 31))</f>
        <v>0</v>
      </c>
    </row>
  </sheetData>
  <pageMargins left="0.7" right="0.7" top="0.75" bottom="0.75" header="0.3" footer="0.3"/>
  <pageSetup orientation="portrait" r:id="rId1"/>
  <ignoredErrors>
    <ignoredError sqref="G2 G4" formulaRange="1"/>
  </ignoredErrors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showInputMessage="1" showErrorMessage="1" xr:uid="{0B8E9604-494B-40E4-BCF2-E98CF1D7B5DC}">
          <x14:formula1>
            <xm:f>'Stream-Hilfsblatt (Status)'!$A$1:$A$5</xm:f>
          </x14:formula1>
          <xm:sqref>L2:L1048576</xm:sqref>
        </x14:dataValidation>
      </x14:dataValidations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0DA16C0-3366-4400-B656-F9F263B2FE2C}">
  <sheetPr codeName="Tabelle3"/>
  <dimension ref="A1:U31"/>
  <sheetViews>
    <sheetView zoomScaleNormal="100" workbookViewId="0">
      <selection activeCell="L15" sqref="L15"/>
    </sheetView>
  </sheetViews>
  <sheetFormatPr baseColWidth="10" defaultRowHeight="15" x14ac:dyDescent="0.25"/>
  <cols>
    <col min="1" max="1" width="5.42578125" style="47" bestFit="1" customWidth="1"/>
    <col min="2" max="2" width="4.5703125" style="47" bestFit="1" customWidth="1"/>
    <col min="3" max="3" width="55.85546875" style="12" bestFit="1" customWidth="1"/>
    <col min="4" max="4" width="10.7109375" style="12" customWidth="1"/>
    <col min="5" max="5" width="7" style="12" bestFit="1" customWidth="1"/>
    <col min="6" max="6" width="10.7109375" style="48" customWidth="1"/>
    <col min="7" max="7" width="7.5703125" style="12" bestFit="1" customWidth="1"/>
    <col min="8" max="8" width="17.140625" style="12" customWidth="1"/>
    <col min="9" max="10" width="14.28515625" style="64" customWidth="1"/>
    <col min="11" max="11" width="11.42578125" style="64" bestFit="1" customWidth="1"/>
    <col min="12" max="12" width="14.28515625" style="8" bestFit="1" customWidth="1"/>
    <col min="13" max="13" width="16.42578125" style="8" bestFit="1" customWidth="1"/>
    <col min="14" max="14" width="18.42578125" style="8" bestFit="1" customWidth="1"/>
    <col min="15" max="15" width="13.85546875" style="72" bestFit="1" customWidth="1"/>
    <col min="16" max="16" width="13.85546875" style="72" customWidth="1"/>
    <col min="17" max="17" width="10.28515625" style="12" bestFit="1" customWidth="1"/>
    <col min="18" max="18" width="8" style="12" bestFit="1" customWidth="1"/>
    <col min="19" max="19" width="0.7109375" style="1" customWidth="1"/>
    <col min="20" max="20" width="34.42578125" style="14" bestFit="1" customWidth="1"/>
    <col min="21" max="21" width="14.7109375" style="1" customWidth="1"/>
    <col min="22" max="16384" width="11.42578125" style="1"/>
  </cols>
  <sheetData>
    <row r="1" spans="1:21" s="2" customFormat="1" ht="15.75" thickBot="1" x14ac:dyDescent="0.3">
      <c r="A1" s="49" t="s">
        <v>49</v>
      </c>
      <c r="B1" s="43" t="s">
        <v>50</v>
      </c>
      <c r="C1" s="54" t="s">
        <v>30</v>
      </c>
      <c r="D1" s="55" t="s">
        <v>31</v>
      </c>
      <c r="E1" s="55" t="s">
        <v>32</v>
      </c>
      <c r="F1" s="55" t="s">
        <v>1</v>
      </c>
      <c r="G1" s="55" t="s">
        <v>25</v>
      </c>
      <c r="H1" s="55" t="s">
        <v>19</v>
      </c>
      <c r="I1" s="55" t="s">
        <v>99</v>
      </c>
      <c r="J1" s="56" t="s">
        <v>66</v>
      </c>
      <c r="K1" s="55" t="s">
        <v>3</v>
      </c>
      <c r="L1" s="55" t="s">
        <v>68</v>
      </c>
      <c r="M1" s="55" t="s">
        <v>69</v>
      </c>
      <c r="N1" s="56" t="s">
        <v>70</v>
      </c>
      <c r="O1" s="55" t="s">
        <v>59</v>
      </c>
      <c r="P1" s="55" t="s">
        <v>60</v>
      </c>
      <c r="Q1" s="54" t="s">
        <v>54</v>
      </c>
      <c r="R1" s="56" t="s">
        <v>55</v>
      </c>
      <c r="T1" s="41" t="s">
        <v>13</v>
      </c>
      <c r="U1" s="43" t="s">
        <v>14</v>
      </c>
    </row>
    <row r="2" spans="1:21" x14ac:dyDescent="0.25">
      <c r="A2" s="47">
        <v>1</v>
      </c>
      <c r="B2" s="50">
        <v>1</v>
      </c>
      <c r="C2" s="12" t="s">
        <v>33</v>
      </c>
      <c r="D2" s="12" t="s">
        <v>38</v>
      </c>
      <c r="F2" s="48">
        <v>3.0324074074074073E-2</v>
      </c>
      <c r="H2" s="12" t="s">
        <v>52</v>
      </c>
      <c r="I2" s="64">
        <v>45744</v>
      </c>
      <c r="J2" s="61">
        <v>45940</v>
      </c>
      <c r="K2" s="67" t="s">
        <v>9</v>
      </c>
      <c r="L2" s="73">
        <v>2304</v>
      </c>
      <c r="M2" s="73">
        <v>190</v>
      </c>
      <c r="N2" s="75">
        <v>3593</v>
      </c>
      <c r="O2" s="98">
        <v>0.71899999999999997</v>
      </c>
      <c r="P2" s="69">
        <v>1.0900000000000001</v>
      </c>
      <c r="Q2" s="65" t="s">
        <v>53</v>
      </c>
      <c r="R2" s="66" t="s">
        <v>53</v>
      </c>
      <c r="S2" s="32"/>
      <c r="T2" s="15" t="s">
        <v>67</v>
      </c>
      <c r="U2" s="21" cm="1">
        <f t="array" ref="U2">SUM(IF(FREQUENCY(A2:A2500, A2:A2500)&gt;0, 1))</f>
        <v>2</v>
      </c>
    </row>
    <row r="3" spans="1:21" x14ac:dyDescent="0.25">
      <c r="A3" s="47">
        <v>1</v>
      </c>
      <c r="B3" s="51">
        <v>2</v>
      </c>
      <c r="C3" s="12" t="s">
        <v>43</v>
      </c>
      <c r="D3" s="12" t="s">
        <v>38</v>
      </c>
      <c r="F3" s="48">
        <v>4.1574074074074076E-2</v>
      </c>
      <c r="H3" s="12" t="s">
        <v>52</v>
      </c>
      <c r="I3" s="64">
        <v>45744</v>
      </c>
      <c r="J3" s="62">
        <v>45947</v>
      </c>
      <c r="K3" s="67" t="s">
        <v>9</v>
      </c>
      <c r="L3" s="73">
        <v>2304</v>
      </c>
      <c r="M3" s="73">
        <v>191</v>
      </c>
      <c r="N3" s="75">
        <v>6114</v>
      </c>
      <c r="O3" s="98">
        <v>0.98599999999999999</v>
      </c>
      <c r="P3" s="70">
        <v>2.5499999999999998</v>
      </c>
      <c r="Q3" s="65" t="s">
        <v>53</v>
      </c>
      <c r="R3" s="66" t="s">
        <v>53</v>
      </c>
      <c r="S3" s="32"/>
      <c r="T3" s="15" t="s">
        <v>56</v>
      </c>
      <c r="U3" s="16">
        <f>COUNTA(B2:B2500)</f>
        <v>14</v>
      </c>
    </row>
    <row r="4" spans="1:21" x14ac:dyDescent="0.25">
      <c r="A4" s="47">
        <v>1</v>
      </c>
      <c r="B4" s="51">
        <v>3</v>
      </c>
      <c r="C4" s="12" t="s">
        <v>44</v>
      </c>
      <c r="D4" s="12" t="s">
        <v>38</v>
      </c>
      <c r="F4" s="48">
        <v>3.138888888888889E-2</v>
      </c>
      <c r="H4" s="12" t="s">
        <v>52</v>
      </c>
      <c r="I4" s="4">
        <v>45758</v>
      </c>
      <c r="J4" s="62">
        <v>45954</v>
      </c>
      <c r="K4" s="67" t="s">
        <v>9</v>
      </c>
      <c r="L4" s="73">
        <v>2304</v>
      </c>
      <c r="M4" s="73">
        <v>192</v>
      </c>
      <c r="N4" s="75">
        <v>4786</v>
      </c>
      <c r="O4" s="98">
        <v>0.74399999999999999</v>
      </c>
      <c r="P4" s="70">
        <v>1.51</v>
      </c>
      <c r="Q4" s="65" t="s">
        <v>53</v>
      </c>
      <c r="R4" s="66" t="s">
        <v>53</v>
      </c>
      <c r="S4" s="32"/>
      <c r="T4" s="15" t="s">
        <v>64</v>
      </c>
      <c r="U4" s="16">
        <f>COUNTIFS(B2:B2500, "&lt;&gt;", G2:G2500, "")</f>
        <v>13</v>
      </c>
    </row>
    <row r="5" spans="1:21" x14ac:dyDescent="0.25">
      <c r="A5" s="47">
        <v>1</v>
      </c>
      <c r="B5" s="51">
        <v>4</v>
      </c>
      <c r="C5" s="12" t="s">
        <v>45</v>
      </c>
      <c r="D5" s="12" t="s">
        <v>38</v>
      </c>
      <c r="F5" s="48">
        <v>3.4039351851851848E-2</v>
      </c>
      <c r="H5" s="12" t="s">
        <v>52</v>
      </c>
      <c r="I5" s="4">
        <v>45758</v>
      </c>
      <c r="J5" s="62">
        <v>45961</v>
      </c>
      <c r="K5" s="67" t="s">
        <v>9</v>
      </c>
      <c r="L5" s="73">
        <v>2304</v>
      </c>
      <c r="M5" s="73">
        <v>191</v>
      </c>
      <c r="N5" s="75">
        <v>6854</v>
      </c>
      <c r="O5" s="98">
        <v>0.80700000000000005</v>
      </c>
      <c r="P5" s="70">
        <v>2.34</v>
      </c>
      <c r="Q5" s="65" t="s">
        <v>53</v>
      </c>
      <c r="R5" s="66" t="s">
        <v>53</v>
      </c>
      <c r="S5" s="32"/>
      <c r="T5" s="20" t="s">
        <v>65</v>
      </c>
      <c r="U5" s="16">
        <f>COUNTIFS(B2:B2500, "&lt;&gt;", G2:G2500, "Ja")</f>
        <v>1</v>
      </c>
    </row>
    <row r="6" spans="1:21" x14ac:dyDescent="0.25">
      <c r="A6" s="47">
        <v>1</v>
      </c>
      <c r="B6" s="51">
        <v>5</v>
      </c>
      <c r="C6" s="12" t="s">
        <v>46</v>
      </c>
      <c r="D6" s="12" t="s">
        <v>38</v>
      </c>
      <c r="F6" s="48">
        <v>3.3865740740740738E-2</v>
      </c>
      <c r="H6" s="12" t="s">
        <v>52</v>
      </c>
      <c r="I6" s="4">
        <v>45758</v>
      </c>
      <c r="J6" s="62">
        <v>45968</v>
      </c>
      <c r="K6" s="67" t="s">
        <v>9</v>
      </c>
      <c r="L6" s="73">
        <v>2304</v>
      </c>
      <c r="M6" s="73">
        <v>192</v>
      </c>
      <c r="N6" s="75">
        <v>7799</v>
      </c>
      <c r="O6" s="98">
        <v>0.80300000000000005</v>
      </c>
      <c r="P6" s="70">
        <v>2.65</v>
      </c>
      <c r="Q6" s="65" t="s">
        <v>53</v>
      </c>
      <c r="R6" s="66" t="s">
        <v>53</v>
      </c>
      <c r="S6" s="32"/>
      <c r="T6" s="37" t="s">
        <v>72</v>
      </c>
      <c r="U6" s="81" cm="1">
        <f t="array" ref="U6">AVERAGE(COUNTIF(A2:A2500, _xlfn._xlws.FILTER(_xlfn.UNIQUE(A2:A2500), _xlfn.UNIQUE(A2:A2500)&lt;&gt;"")))</f>
        <v>7</v>
      </c>
    </row>
    <row r="7" spans="1:21" x14ac:dyDescent="0.25">
      <c r="A7" s="47">
        <v>1</v>
      </c>
      <c r="B7" s="51">
        <v>6</v>
      </c>
      <c r="C7" s="12" t="s">
        <v>47</v>
      </c>
      <c r="D7" s="12" t="s">
        <v>38</v>
      </c>
      <c r="F7" s="48">
        <v>3.2476851851851854E-2</v>
      </c>
      <c r="H7" s="12" t="s">
        <v>52</v>
      </c>
      <c r="I7" s="4">
        <v>45758</v>
      </c>
      <c r="J7" s="62">
        <v>45975</v>
      </c>
      <c r="K7" s="67" t="s">
        <v>9</v>
      </c>
      <c r="L7" s="73">
        <v>2304</v>
      </c>
      <c r="M7" s="73">
        <v>192</v>
      </c>
      <c r="N7" s="75">
        <v>7784</v>
      </c>
      <c r="O7" s="98">
        <v>0.77</v>
      </c>
      <c r="P7" s="70">
        <v>2.54</v>
      </c>
      <c r="Q7" s="65" t="s">
        <v>53</v>
      </c>
      <c r="R7" s="66" t="s">
        <v>53</v>
      </c>
      <c r="S7" s="32"/>
      <c r="T7" s="15" t="s">
        <v>57</v>
      </c>
      <c r="U7" s="39">
        <f>SUM(F:F)</f>
        <v>0.4387152777777778</v>
      </c>
    </row>
    <row r="8" spans="1:21" x14ac:dyDescent="0.25">
      <c r="A8" s="47">
        <v>1</v>
      </c>
      <c r="B8" s="51">
        <v>7</v>
      </c>
      <c r="C8" s="12" t="s">
        <v>48</v>
      </c>
      <c r="D8" s="12" t="s">
        <v>38</v>
      </c>
      <c r="F8" s="48">
        <v>2.8356481481481483E-2</v>
      </c>
      <c r="H8" s="12" t="s">
        <v>52</v>
      </c>
      <c r="I8" s="4">
        <v>45758</v>
      </c>
      <c r="J8" s="62">
        <v>45982</v>
      </c>
      <c r="K8" s="67" t="s">
        <v>9</v>
      </c>
      <c r="L8" s="73">
        <v>2304</v>
      </c>
      <c r="M8" s="73">
        <v>193</v>
      </c>
      <c r="N8" s="75">
        <v>7469</v>
      </c>
      <c r="O8" s="98">
        <v>0.67200000000000004</v>
      </c>
      <c r="P8" s="70">
        <v>2.13</v>
      </c>
      <c r="Q8" s="65" t="s">
        <v>53</v>
      </c>
      <c r="R8" s="66" t="s">
        <v>53</v>
      </c>
      <c r="S8" s="32"/>
      <c r="T8" s="15" t="s">
        <v>58</v>
      </c>
      <c r="U8" s="39">
        <f>SUMIFS(F2:F2500, G2:G2500, "")</f>
        <v>0.4387152777777778</v>
      </c>
    </row>
    <row r="9" spans="1:21" x14ac:dyDescent="0.25">
      <c r="A9" s="47">
        <v>1</v>
      </c>
      <c r="B9" s="51">
        <v>8</v>
      </c>
      <c r="C9" s="12" t="s">
        <v>94</v>
      </c>
      <c r="D9" s="12" t="s">
        <v>38</v>
      </c>
      <c r="F9" s="48">
        <v>3.3391203703703701E-2</v>
      </c>
      <c r="H9" s="12" t="s">
        <v>52</v>
      </c>
      <c r="I9" s="4">
        <v>45765</v>
      </c>
      <c r="J9" s="62">
        <v>45989</v>
      </c>
      <c r="K9" s="67" t="s">
        <v>9</v>
      </c>
      <c r="L9" s="73">
        <v>3072</v>
      </c>
      <c r="M9" s="73">
        <v>195</v>
      </c>
      <c r="N9" s="75">
        <v>6297</v>
      </c>
      <c r="O9" s="98">
        <v>1.03</v>
      </c>
      <c r="P9" s="70">
        <v>2.11</v>
      </c>
      <c r="Q9" s="65" t="s">
        <v>53</v>
      </c>
      <c r="R9" s="66" t="s">
        <v>53</v>
      </c>
      <c r="S9" s="32"/>
      <c r="T9" s="20" t="s">
        <v>29</v>
      </c>
      <c r="U9" s="39">
        <f>SUMIFS(F2:F2500, G2:G2500, "Ja")</f>
        <v>0</v>
      </c>
    </row>
    <row r="10" spans="1:21" x14ac:dyDescent="0.25">
      <c r="A10" s="47">
        <v>1</v>
      </c>
      <c r="B10" s="51">
        <v>9</v>
      </c>
      <c r="C10" s="12" t="s">
        <v>98</v>
      </c>
      <c r="D10" s="12" t="s">
        <v>38</v>
      </c>
      <c r="F10" s="48">
        <v>4.1574074074074076E-2</v>
      </c>
      <c r="H10" s="12" t="s">
        <v>51</v>
      </c>
      <c r="I10" s="4">
        <v>45765</v>
      </c>
      <c r="J10" s="62">
        <v>45996</v>
      </c>
      <c r="K10" s="67" t="s">
        <v>9</v>
      </c>
      <c r="L10" s="73">
        <v>3072</v>
      </c>
      <c r="M10" s="73">
        <v>194</v>
      </c>
      <c r="N10" s="75">
        <v>6197</v>
      </c>
      <c r="O10" s="98">
        <v>1.28</v>
      </c>
      <c r="P10" s="70">
        <v>2.59</v>
      </c>
      <c r="R10" s="57"/>
      <c r="S10" s="32"/>
      <c r="T10" s="37" t="s">
        <v>71</v>
      </c>
      <c r="U10" s="40">
        <f>AVERAGE(F:F)</f>
        <v>3.3747329059829065E-2</v>
      </c>
    </row>
    <row r="11" spans="1:21" x14ac:dyDescent="0.25">
      <c r="A11" s="47">
        <v>1</v>
      </c>
      <c r="B11" s="51">
        <v>10</v>
      </c>
      <c r="C11" s="12" t="s">
        <v>100</v>
      </c>
      <c r="D11" s="12" t="s">
        <v>38</v>
      </c>
      <c r="F11" s="48">
        <v>3.3912037037037039E-2</v>
      </c>
      <c r="H11" s="12" t="s">
        <v>51</v>
      </c>
      <c r="I11" s="4">
        <v>45765</v>
      </c>
      <c r="J11" s="62">
        <v>46003</v>
      </c>
      <c r="K11" s="67" t="s">
        <v>9</v>
      </c>
      <c r="L11" s="73">
        <v>3072</v>
      </c>
      <c r="M11" s="73">
        <v>194</v>
      </c>
      <c r="N11" s="75">
        <v>6157</v>
      </c>
      <c r="O11" s="98">
        <v>1.04</v>
      </c>
      <c r="P11" s="70">
        <v>2.1</v>
      </c>
      <c r="R11" s="57"/>
      <c r="S11" s="32"/>
      <c r="T11" s="15" t="s">
        <v>61</v>
      </c>
      <c r="U11" s="77">
        <f>SUM(O:O)</f>
        <v>9.82</v>
      </c>
    </row>
    <row r="12" spans="1:21" x14ac:dyDescent="0.25">
      <c r="A12" s="47">
        <v>1</v>
      </c>
      <c r="B12" s="51">
        <v>11</v>
      </c>
      <c r="C12" s="12" t="s">
        <v>101</v>
      </c>
      <c r="D12" s="12" t="s">
        <v>38</v>
      </c>
      <c r="F12" s="48">
        <v>3.3379629629629627E-2</v>
      </c>
      <c r="H12" s="12" t="s">
        <v>51</v>
      </c>
      <c r="I12" s="4">
        <v>45786</v>
      </c>
      <c r="J12" s="62">
        <v>46010</v>
      </c>
      <c r="K12" s="67" t="s">
        <v>9</v>
      </c>
      <c r="L12" s="73">
        <v>3072</v>
      </c>
      <c r="M12" s="73">
        <v>194</v>
      </c>
      <c r="N12" s="75">
        <v>8244</v>
      </c>
      <c r="O12" s="98">
        <v>0.96899999999999997</v>
      </c>
      <c r="P12" s="70">
        <v>2.54</v>
      </c>
      <c r="R12" s="57"/>
      <c r="S12" s="32"/>
      <c r="T12" s="15" t="s">
        <v>62</v>
      </c>
      <c r="U12" s="77">
        <f>SUM(P:P)</f>
        <v>24.15</v>
      </c>
    </row>
    <row r="13" spans="1:21" ht="15.75" thickBot="1" x14ac:dyDescent="0.3">
      <c r="A13" s="52">
        <v>1</v>
      </c>
      <c r="B13" s="53">
        <v>12</v>
      </c>
      <c r="C13" s="26"/>
      <c r="D13" s="58"/>
      <c r="E13" s="58"/>
      <c r="F13" s="59"/>
      <c r="G13" s="58" t="s">
        <v>42</v>
      </c>
      <c r="H13" s="58" t="s">
        <v>20</v>
      </c>
      <c r="I13" s="68"/>
      <c r="J13" s="63">
        <v>46011</v>
      </c>
      <c r="K13" s="68" t="s">
        <v>9</v>
      </c>
      <c r="L13" s="74"/>
      <c r="M13" s="74"/>
      <c r="N13" s="76"/>
      <c r="O13" s="99"/>
      <c r="P13" s="71"/>
      <c r="Q13" s="58"/>
      <c r="R13" s="60"/>
      <c r="S13" s="32"/>
      <c r="T13" s="17" t="s">
        <v>63</v>
      </c>
      <c r="U13" s="79">
        <f>SUM(U11:U12)</f>
        <v>33.97</v>
      </c>
    </row>
    <row r="14" spans="1:21" x14ac:dyDescent="0.25">
      <c r="A14" s="47">
        <v>2</v>
      </c>
      <c r="B14" s="47">
        <v>1</v>
      </c>
      <c r="C14" s="12" t="s">
        <v>103</v>
      </c>
      <c r="D14" s="12" t="s">
        <v>38</v>
      </c>
      <c r="F14" s="48">
        <v>3.4189814814814812E-2</v>
      </c>
      <c r="H14" s="12" t="s">
        <v>96</v>
      </c>
      <c r="I14" s="64">
        <v>45772</v>
      </c>
      <c r="J14" s="64">
        <v>46031</v>
      </c>
      <c r="K14" s="64" t="s">
        <v>9</v>
      </c>
      <c r="S14" s="32"/>
      <c r="T14" s="15" t="s">
        <v>20</v>
      </c>
      <c r="U14" s="16">
        <f>COUNTIF(H:H, "Nicht begonnen")</f>
        <v>1</v>
      </c>
    </row>
    <row r="15" spans="1:21" x14ac:dyDescent="0.25">
      <c r="A15" s="47">
        <v>2</v>
      </c>
      <c r="B15" s="47">
        <v>2</v>
      </c>
      <c r="C15" s="12" t="s">
        <v>104</v>
      </c>
      <c r="D15" s="12" t="s">
        <v>38</v>
      </c>
      <c r="F15" s="48">
        <v>3.0243055555555554E-2</v>
      </c>
      <c r="H15" s="12" t="s">
        <v>96</v>
      </c>
      <c r="I15" s="64">
        <v>45772</v>
      </c>
      <c r="J15" s="64">
        <v>46038</v>
      </c>
      <c r="K15" s="64" t="s">
        <v>9</v>
      </c>
      <c r="S15" s="32"/>
      <c r="T15" s="15" t="s">
        <v>23</v>
      </c>
      <c r="U15" s="16">
        <f>COUNTIF(H:H, "In Bearbeitung")</f>
        <v>0</v>
      </c>
    </row>
    <row r="16" spans="1:21" x14ac:dyDescent="0.25">
      <c r="S16" s="32"/>
      <c r="T16" s="14" t="s">
        <v>96</v>
      </c>
      <c r="U16" s="16">
        <f>COUNTIF(H:H, "Gecutted")</f>
        <v>2</v>
      </c>
    </row>
    <row r="17" spans="6:21" x14ac:dyDescent="0.25">
      <c r="S17" s="32"/>
      <c r="T17" s="14" t="s">
        <v>97</v>
      </c>
      <c r="U17" s="16">
        <f>COUNTIF(H:H, "Gerendert")</f>
        <v>0</v>
      </c>
    </row>
    <row r="18" spans="6:21" x14ac:dyDescent="0.25">
      <c r="S18" s="32"/>
      <c r="T18" s="15" t="s">
        <v>51</v>
      </c>
      <c r="U18" s="16">
        <f>COUNTIF(H:H, "Hochgeladen")</f>
        <v>3</v>
      </c>
    </row>
    <row r="19" spans="6:21" ht="15.75" thickBot="1" x14ac:dyDescent="0.3">
      <c r="S19" s="32"/>
      <c r="T19" s="17" t="s">
        <v>52</v>
      </c>
      <c r="U19" s="22">
        <f>COUNTIF(H:H, "Released")</f>
        <v>8</v>
      </c>
    </row>
    <row r="20" spans="6:21" x14ac:dyDescent="0.25">
      <c r="S20" s="32"/>
      <c r="T20" s="15" t="s">
        <v>26</v>
      </c>
      <c r="U20" s="27" t="str" cm="1">
        <f t="array" ref="U20">IFERROR(INDEX(K2:K2500, MATCH(MAX(COUNTIF(K2:K2500, K2:K2500)), COUNTIF(K2:K2500, K2:K2500), 0)), "Kein häufigster Wert")</f>
        <v>1920x1080</v>
      </c>
    </row>
    <row r="21" spans="6:21" x14ac:dyDescent="0.25">
      <c r="S21" s="32"/>
      <c r="T21" s="15" t="s">
        <v>73</v>
      </c>
      <c r="U21" s="78">
        <f>AVERAGE(L:L)</f>
        <v>2583.2727272727275</v>
      </c>
    </row>
    <row r="22" spans="6:21" x14ac:dyDescent="0.25">
      <c r="S22" s="32"/>
      <c r="T22" s="15" t="s">
        <v>74</v>
      </c>
      <c r="U22" s="78">
        <f>AVERAGE(M:M)</f>
        <v>192.54545454545453</v>
      </c>
    </row>
    <row r="23" spans="6:21" ht="15.75" thickBot="1" x14ac:dyDescent="0.3">
      <c r="T23" s="17" t="s">
        <v>75</v>
      </c>
      <c r="U23" s="80">
        <f>AVERAGE(N:N)</f>
        <v>6481.272727272727</v>
      </c>
    </row>
    <row r="24" spans="6:21" x14ac:dyDescent="0.25">
      <c r="T24" s="19">
        <v>2025</v>
      </c>
      <c r="U24" s="21">
        <f>COUNTIFS($J$2:$J$2500, "&gt;=" &amp; DATE($T24, 1, 1), $J$2:$J$2500, "&lt;=" &amp; DATE($T24, 12, 31))</f>
        <v>12</v>
      </c>
    </row>
    <row r="25" spans="6:21" x14ac:dyDescent="0.25">
      <c r="T25" s="20">
        <v>2026</v>
      </c>
      <c r="U25" s="16">
        <f>COUNTIFS($J$2:$J$2500, "&gt;=" &amp; DATE($T25, 1, 1), $J$2:$J$2500, "&lt;=" &amp; DATE($T25, 12, 31))</f>
        <v>2</v>
      </c>
    </row>
    <row r="26" spans="6:21" x14ac:dyDescent="0.25">
      <c r="T26" s="20">
        <v>2027</v>
      </c>
      <c r="U26" s="16">
        <f>COUNTIFS($J$2:$J$2500, "&gt;=" &amp; DATE($T26, 1, 1), $J$2:$J$2500, "&lt;=" &amp; DATE($T26, 12, 31))</f>
        <v>0</v>
      </c>
    </row>
    <row r="31" spans="6:21" x14ac:dyDescent="0.25">
      <c r="F31" s="48" t="s">
        <v>95</v>
      </c>
    </row>
  </sheetData>
  <phoneticPr fontId="6" type="noConversion"/>
  <hyperlinks>
    <hyperlink ref="Q2" r:id="rId1" xr:uid="{9E3D3BC0-353F-480A-822A-C343F08AFD23}"/>
    <hyperlink ref="Q3" r:id="rId2" xr:uid="{3FEB8FA6-758E-4AD1-9594-7C08E4AC5403}"/>
    <hyperlink ref="Q4" r:id="rId3" xr:uid="{8CD4CB17-1EA7-4924-B399-0672EEC44FCD}"/>
    <hyperlink ref="Q5" r:id="rId4" xr:uid="{664D02DA-3B52-4A13-8701-D19377EF4822}"/>
    <hyperlink ref="Q6" r:id="rId5" xr:uid="{BE72FBEF-E05A-40B1-8090-AFB62BF0F67E}"/>
    <hyperlink ref="Q7" r:id="rId6" xr:uid="{0938E639-6FA4-4409-B9E0-BD6FA8146F98}"/>
    <hyperlink ref="Q8" r:id="rId7" xr:uid="{F7631EDA-F6CF-4F2B-B912-7BA81C846C6A}"/>
    <hyperlink ref="R2" r:id="rId8" xr:uid="{5BFB0410-6556-40BF-A99B-0B456E0396CA}"/>
    <hyperlink ref="R3" r:id="rId9" xr:uid="{8E7B48C7-48E4-495C-9EC8-1F0B6AC5DE0A}"/>
    <hyperlink ref="R4" r:id="rId10" xr:uid="{6AEFB0E8-7A88-489F-B726-CD5D6D87900B}"/>
    <hyperlink ref="R5" r:id="rId11" xr:uid="{7880EF15-CE8B-41A1-8674-24674DD92F69}"/>
    <hyperlink ref="R6" r:id="rId12" xr:uid="{A49D095A-4297-403B-816E-2685C5A39F2D}"/>
    <hyperlink ref="R7" r:id="rId13" xr:uid="{1454D227-6BEA-4E97-B622-C3F9777FFB05}"/>
    <hyperlink ref="R8" r:id="rId14" xr:uid="{709E533B-3FD6-49DA-9989-F185F2A3F872}"/>
    <hyperlink ref="R9" r:id="rId15" xr:uid="{7EFB7086-A5DB-4C4F-896F-76601AEEF7B9}"/>
    <hyperlink ref="Q9" r:id="rId16" xr:uid="{14FCB5C9-875C-4669-B1E7-12B7C63DDAD4}"/>
  </hyperlinks>
  <pageMargins left="0.7" right="0.7" top="0.78740157499999996" bottom="0.78740157499999996" header="0.3" footer="0.3"/>
  <pageSetup orientation="portrait" r:id="rId17"/>
  <extLst>
    <ext xmlns:x14="http://schemas.microsoft.com/office/spreadsheetml/2009/9/main" uri="{CCE6A557-97BC-4b89-ADB6-D9C93CAAB3DF}">
      <x14:dataValidations xmlns:xm="http://schemas.microsoft.com/office/excel/2006/main" count="2">
        <x14:dataValidation type="list" allowBlank="1" showInputMessage="1" showErrorMessage="1" xr:uid="{EBE1CA0C-C4BE-46E4-B222-F52AAD39957B}">
          <x14:formula1>
            <xm:f>'Folgen, Hilfstabelle'!$A$1:$A$8</xm:f>
          </x14:formula1>
          <xm:sqref>D2:D1048576</xm:sqref>
        </x14:dataValidation>
        <x14:dataValidation type="list" showInputMessage="1" showErrorMessage="1" xr:uid="{97976125-FE94-49C8-B751-2AFB8DB82CAF}">
          <x14:formula1>
            <xm:f>'Folgen, Hilfstabelle'!$B$1:$B$6</xm:f>
          </x14:formula1>
          <xm:sqref>H2:H1048576</xm:sqref>
        </x14:dataValidation>
      </x14:dataValidations>
    </ext>
  </extLst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1825ADC-1355-4B3F-A50E-14C025A10786}">
  <dimension ref="A1:B8"/>
  <sheetViews>
    <sheetView workbookViewId="0">
      <selection activeCell="B5" sqref="B5"/>
    </sheetView>
  </sheetViews>
  <sheetFormatPr baseColWidth="10" defaultRowHeight="15" x14ac:dyDescent="0.25"/>
  <cols>
    <col min="2" max="2" width="15.140625" bestFit="1" customWidth="1"/>
  </cols>
  <sheetData>
    <row r="1" spans="1:2" x14ac:dyDescent="0.25">
      <c r="A1" t="s">
        <v>34</v>
      </c>
      <c r="B1" t="s">
        <v>20</v>
      </c>
    </row>
    <row r="2" spans="1:2" x14ac:dyDescent="0.25">
      <c r="A2" t="s">
        <v>35</v>
      </c>
      <c r="B2" t="s">
        <v>23</v>
      </c>
    </row>
    <row r="3" spans="1:2" x14ac:dyDescent="0.25">
      <c r="A3" t="s">
        <v>36</v>
      </c>
      <c r="B3" t="s">
        <v>96</v>
      </c>
    </row>
    <row r="4" spans="1:2" x14ac:dyDescent="0.25">
      <c r="A4" t="s">
        <v>41</v>
      </c>
      <c r="B4" t="s">
        <v>97</v>
      </c>
    </row>
    <row r="5" spans="1:2" x14ac:dyDescent="0.25">
      <c r="A5" t="s">
        <v>37</v>
      </c>
      <c r="B5" t="s">
        <v>51</v>
      </c>
    </row>
    <row r="6" spans="1:2" x14ac:dyDescent="0.25">
      <c r="A6" t="s">
        <v>39</v>
      </c>
      <c r="B6" t="s">
        <v>52</v>
      </c>
    </row>
    <row r="7" spans="1:2" x14ac:dyDescent="0.25">
      <c r="A7" t="s">
        <v>40</v>
      </c>
    </row>
    <row r="8" spans="1:2" x14ac:dyDescent="0.25">
      <c r="A8" t="s">
        <v>38</v>
      </c>
    </row>
  </sheetData>
  <pageMargins left="0.7" right="0.7" top="0.78740157499999996" bottom="0.78740157499999996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4</vt:i4>
      </vt:variant>
    </vt:vector>
  </HeadingPairs>
  <TitlesOfParts>
    <vt:vector size="4" baseType="lpstr">
      <vt:lpstr>Stream-Hilfsblatt (Status)</vt:lpstr>
      <vt:lpstr>Streams</vt:lpstr>
      <vt:lpstr>Folgen</vt:lpstr>
      <vt:lpstr>Folgen, Hilfstabelle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Andreas Reimann</cp:lastModifiedBy>
  <dcterms:created xsi:type="dcterms:W3CDTF">2015-06-05T18:19:34Z</dcterms:created>
  <dcterms:modified xsi:type="dcterms:W3CDTF">2025-11-30T02:02:55Z</dcterms:modified>
</cp:coreProperties>
</file>